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C:\Users\VanMaMa\Downloads\"/>
    </mc:Choice>
  </mc:AlternateContent>
  <xr:revisionPtr revIDLastSave="0" documentId="8_{6545A5B2-C561-4F45-92BF-3E5932A3C392}" xr6:coauthVersionLast="45" xr6:coauthVersionMax="45" xr10:uidLastSave="{00000000-0000-0000-0000-000000000000}"/>
  <bookViews>
    <workbookView xWindow="-120" yWindow="-120" windowWidth="29040" windowHeight="15840" activeTab="1" xr2:uid="{00000000-000D-0000-FFFF-FFFF00000000}"/>
  </bookViews>
  <sheets>
    <sheet name="Technical Notes" sheetId="25" r:id="rId1"/>
    <sheet name="June 2017p" sheetId="28" r:id="rId2"/>
    <sheet name="June 2016r" sheetId="29" r:id="rId3"/>
    <sheet name="June 2015" sheetId="27" r:id="rId4"/>
    <sheet name="June 2014" sheetId="26" r:id="rId5"/>
    <sheet name="June 2013p" sheetId="24" r:id="rId6"/>
    <sheet name="June 2012" sheetId="23" r:id="rId7"/>
    <sheet name="June 2011" sheetId="22" r:id="rId8"/>
    <sheet name="June 2010" sheetId="20" r:id="rId9"/>
    <sheet name="June 2009" sheetId="17" r:id="rId10"/>
    <sheet name="June 2008" sheetId="18" r:id="rId11"/>
    <sheet name="June 2007" sheetId="13" r:id="rId12"/>
    <sheet name="June 2006" sheetId="2" r:id="rId13"/>
    <sheet name="June 2005" sheetId="3" r:id="rId14"/>
    <sheet name="June 2004" sheetId="4" r:id="rId15"/>
    <sheet name="June 2003" sheetId="5" r:id="rId16"/>
    <sheet name="June 2002" sheetId="6" r:id="rId17"/>
    <sheet name="June 2001" sheetId="7" r:id="rId18"/>
    <sheet name="June 2000" sheetId="8" r:id="rId19"/>
    <sheet name="June 1999" sheetId="9" r:id="rId20"/>
    <sheet name="June 1998" sheetId="10" r:id="rId21"/>
    <sheet name="June 1997" sheetId="11" r:id="rId22"/>
    <sheet name="June 1996" sheetId="12" r:id="rId23"/>
  </sheets>
  <externalReferences>
    <externalReference r:id="rId24"/>
  </externalReferences>
  <definedNames>
    <definedName name="_xlnm._FilterDatabase" localSheetId="3" hidden="1">'June 2015'!$A$4:$N$50</definedName>
    <definedName name="_xlnm.Print_Area" localSheetId="7">'June 2011'!$A$1:$P$42</definedName>
    <definedName name="_xlnm.Print_Area" localSheetId="6">'June 2012'!$A$1:$P$42</definedName>
    <definedName name="_xlnm.Print_Area" localSheetId="5">'June 2013p'!$A$1:$O$42</definedName>
    <definedName name="_xlnm.Print_Area" localSheetId="4">'June 2014'!$A$1:$P$42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8" i="27" l="1"/>
  <c r="A47" i="27"/>
  <c r="A46" i="27"/>
  <c r="A45" i="27"/>
  <c r="A44" i="27"/>
  <c r="A43" i="27"/>
  <c r="A42" i="27"/>
  <c r="A41" i="27"/>
  <c r="A40" i="27"/>
  <c r="A39" i="27"/>
  <c r="A38" i="27"/>
  <c r="A37" i="27"/>
  <c r="A36" i="27"/>
  <c r="A35" i="27"/>
  <c r="A34" i="27"/>
  <c r="A33" i="27"/>
  <c r="A32" i="27"/>
  <c r="A31" i="27"/>
  <c r="A30" i="27"/>
  <c r="A29" i="27"/>
  <c r="A28" i="27"/>
  <c r="A27" i="27"/>
  <c r="A26" i="27"/>
  <c r="A25" i="27"/>
  <c r="A24" i="27"/>
  <c r="A23" i="27"/>
  <c r="A22" i="27"/>
  <c r="A21" i="27"/>
  <c r="A20" i="27"/>
  <c r="A19" i="27"/>
  <c r="A18" i="27"/>
  <c r="A17" i="27"/>
  <c r="A16" i="27"/>
  <c r="A15" i="27"/>
  <c r="A14" i="27"/>
  <c r="A13" i="27"/>
  <c r="A12" i="27"/>
  <c r="A11" i="27"/>
  <c r="A10" i="27"/>
  <c r="A9" i="27"/>
  <c r="A8" i="27"/>
  <c r="A7" i="27"/>
  <c r="A6" i="27"/>
  <c r="O41" i="26"/>
  <c r="P7" i="23"/>
  <c r="P8" i="23"/>
  <c r="P9" i="23"/>
  <c r="P10" i="23"/>
  <c r="P11" i="23"/>
  <c r="P12" i="23"/>
  <c r="P13" i="23"/>
  <c r="P14" i="23"/>
  <c r="P15" i="23"/>
  <c r="P16" i="23"/>
  <c r="P17" i="23"/>
  <c r="P18" i="23"/>
  <c r="P19" i="23"/>
  <c r="P20" i="23"/>
  <c r="P21" i="23"/>
  <c r="P22" i="23"/>
  <c r="P23" i="23"/>
  <c r="P24" i="23"/>
  <c r="P25" i="23"/>
  <c r="P26" i="23"/>
  <c r="P27" i="23"/>
  <c r="P28" i="23"/>
  <c r="P29" i="23"/>
  <c r="P30" i="23"/>
  <c r="P31" i="23"/>
  <c r="P32" i="23"/>
  <c r="P33" i="23"/>
  <c r="P34" i="23"/>
  <c r="P35" i="23"/>
  <c r="P36" i="23"/>
  <c r="P37" i="23"/>
  <c r="P38" i="23"/>
  <c r="P39" i="23"/>
  <c r="P40" i="23"/>
  <c r="P6" i="23"/>
  <c r="C47" i="4"/>
  <c r="N47" i="4" s="1"/>
  <c r="E47" i="4"/>
  <c r="G47" i="4"/>
  <c r="I47" i="4"/>
  <c r="K47" i="4"/>
  <c r="K46" i="4" s="1"/>
  <c r="L47" i="4"/>
  <c r="L46" i="4" s="1"/>
  <c r="M47" i="4"/>
  <c r="J47" i="4"/>
  <c r="J46" i="4" s="1"/>
  <c r="H47" i="4"/>
  <c r="F47" i="4"/>
  <c r="D47" i="4"/>
  <c r="D46" i="4" s="1"/>
  <c r="M6" i="4"/>
  <c r="N6" i="4" s="1"/>
  <c r="M7" i="4"/>
  <c r="N7" i="4" s="1"/>
  <c r="M8" i="4"/>
  <c r="N8" i="4" s="1"/>
  <c r="M9" i="4"/>
  <c r="M10" i="4"/>
  <c r="M11" i="4"/>
  <c r="M12" i="4"/>
  <c r="M13" i="4"/>
  <c r="N13" i="4" s="1"/>
  <c r="M14" i="4"/>
  <c r="M15" i="4"/>
  <c r="M16" i="4"/>
  <c r="M17" i="4"/>
  <c r="M18" i="4"/>
  <c r="M19" i="4"/>
  <c r="N19" i="4" s="1"/>
  <c r="M20" i="4"/>
  <c r="M21" i="4"/>
  <c r="N21" i="4" s="1"/>
  <c r="M22" i="4"/>
  <c r="M23" i="4"/>
  <c r="M24" i="4"/>
  <c r="N24" i="4" s="1"/>
  <c r="M25" i="4"/>
  <c r="M26" i="4"/>
  <c r="N26" i="4" s="1"/>
  <c r="M27" i="4"/>
  <c r="M28" i="4"/>
  <c r="N28" i="4" s="1"/>
  <c r="M29" i="4"/>
  <c r="N29" i="4" s="1"/>
  <c r="M30" i="4"/>
  <c r="M31" i="4"/>
  <c r="M32" i="4"/>
  <c r="M33" i="4"/>
  <c r="M34" i="4"/>
  <c r="M35" i="4"/>
  <c r="N35" i="4" s="1"/>
  <c r="M36" i="4"/>
  <c r="N36" i="4" s="1"/>
  <c r="M38" i="4"/>
  <c r="N38" i="4" s="1"/>
  <c r="M39" i="4"/>
  <c r="N39" i="4" s="1"/>
  <c r="M40" i="4"/>
  <c r="M41" i="4"/>
  <c r="M42" i="4"/>
  <c r="M43" i="4"/>
  <c r="N43" i="4" s="1"/>
  <c r="M44" i="4"/>
  <c r="M45" i="4"/>
  <c r="N45" i="4" s="1"/>
  <c r="L6" i="4"/>
  <c r="L7" i="4"/>
  <c r="L8" i="4"/>
  <c r="L9" i="4"/>
  <c r="N9" i="4" s="1"/>
  <c r="L10" i="4"/>
  <c r="L11" i="4"/>
  <c r="N11" i="4" s="1"/>
  <c r="L12" i="4"/>
  <c r="L14" i="4"/>
  <c r="N14" i="4" s="1"/>
  <c r="L15" i="4"/>
  <c r="L16" i="4"/>
  <c r="N16" i="4" s="1"/>
  <c r="L17" i="4"/>
  <c r="L18" i="4"/>
  <c r="N18" i="4" s="1"/>
  <c r="L19" i="4"/>
  <c r="L20" i="4"/>
  <c r="L21" i="4"/>
  <c r="L22" i="4"/>
  <c r="L23" i="4"/>
  <c r="N23" i="4" s="1"/>
  <c r="L24" i="4"/>
  <c r="L25" i="4"/>
  <c r="N25" i="4" s="1"/>
  <c r="L26" i="4"/>
  <c r="L27" i="4"/>
  <c r="L28" i="4"/>
  <c r="L29" i="4"/>
  <c r="L30" i="4"/>
  <c r="L32" i="4"/>
  <c r="L33" i="4"/>
  <c r="N33" i="4" s="1"/>
  <c r="L34" i="4"/>
  <c r="L35" i="4"/>
  <c r="L38" i="4"/>
  <c r="L39" i="4"/>
  <c r="L40" i="4"/>
  <c r="N40" i="4" s="1"/>
  <c r="L41" i="4"/>
  <c r="N41" i="4" s="1"/>
  <c r="L42" i="4"/>
  <c r="L43" i="4"/>
  <c r="L44" i="4"/>
  <c r="L45" i="4"/>
  <c r="K7" i="4"/>
  <c r="K8" i="4"/>
  <c r="K9" i="4"/>
  <c r="K10" i="4"/>
  <c r="K11" i="4"/>
  <c r="K12" i="4"/>
  <c r="K13" i="4"/>
  <c r="K14" i="4"/>
  <c r="K15" i="4"/>
  <c r="K16" i="4"/>
  <c r="K17" i="4"/>
  <c r="K18" i="4"/>
  <c r="K19" i="4"/>
  <c r="K20" i="4"/>
  <c r="K21" i="4"/>
  <c r="K22" i="4"/>
  <c r="N22" i="4" s="1"/>
  <c r="K23" i="4"/>
  <c r="K24" i="4"/>
  <c r="K25" i="4"/>
  <c r="K26" i="4"/>
  <c r="K28" i="4"/>
  <c r="K30" i="4"/>
  <c r="K33" i="4"/>
  <c r="K35" i="4"/>
  <c r="K38" i="4"/>
  <c r="K39" i="4"/>
  <c r="K40" i="4"/>
  <c r="K41" i="4"/>
  <c r="K42" i="4"/>
  <c r="N42" i="4" s="1"/>
  <c r="K43" i="4"/>
  <c r="K44" i="4"/>
  <c r="K45" i="4"/>
  <c r="I6" i="4"/>
  <c r="I7" i="4"/>
  <c r="I46" i="4" s="1"/>
  <c r="I8" i="4"/>
  <c r="I9" i="4"/>
  <c r="I10" i="4"/>
  <c r="I11" i="4"/>
  <c r="I12" i="4"/>
  <c r="I14" i="4"/>
  <c r="I15" i="4"/>
  <c r="I16" i="4"/>
  <c r="I17" i="4"/>
  <c r="N17" i="4" s="1"/>
  <c r="I18" i="4"/>
  <c r="I19" i="4"/>
  <c r="I20" i="4"/>
  <c r="I21" i="4"/>
  <c r="I22" i="4"/>
  <c r="I23" i="4"/>
  <c r="I24" i="4"/>
  <c r="I25" i="4"/>
  <c r="I26" i="4"/>
  <c r="I27" i="4"/>
  <c r="I28" i="4"/>
  <c r="I29" i="4"/>
  <c r="I32" i="4"/>
  <c r="I35" i="4"/>
  <c r="I36" i="4"/>
  <c r="I38" i="4"/>
  <c r="I39" i="4"/>
  <c r="I40" i="4"/>
  <c r="I41" i="4"/>
  <c r="I42" i="4"/>
  <c r="I43" i="4"/>
  <c r="I44" i="4"/>
  <c r="E6" i="4"/>
  <c r="E7" i="4"/>
  <c r="E46" i="4" s="1"/>
  <c r="E8" i="4"/>
  <c r="E10" i="4"/>
  <c r="E11" i="4"/>
  <c r="E12" i="4"/>
  <c r="E13" i="4"/>
  <c r="E14" i="4"/>
  <c r="E15" i="4"/>
  <c r="N15" i="4" s="1"/>
  <c r="E16" i="4"/>
  <c r="E17" i="4"/>
  <c r="E18" i="4"/>
  <c r="E19" i="4"/>
  <c r="E20" i="4"/>
  <c r="E22" i="4"/>
  <c r="E23" i="4"/>
  <c r="E24" i="4"/>
  <c r="E25" i="4"/>
  <c r="E26" i="4"/>
  <c r="E29" i="4"/>
  <c r="E30" i="4"/>
  <c r="E31" i="4"/>
  <c r="N31" i="4"/>
  <c r="E33" i="4"/>
  <c r="E35" i="4"/>
  <c r="E37" i="4"/>
  <c r="E40" i="4"/>
  <c r="E43" i="4"/>
  <c r="E44" i="4"/>
  <c r="E45" i="4"/>
  <c r="C7" i="4"/>
  <c r="C10" i="4"/>
  <c r="C12" i="4"/>
  <c r="N12" i="4" s="1"/>
  <c r="C14" i="4"/>
  <c r="C16" i="4"/>
  <c r="C19" i="4"/>
  <c r="C23" i="4"/>
  <c r="C26" i="4"/>
  <c r="C30" i="4"/>
  <c r="C37" i="4"/>
  <c r="N37" i="4"/>
  <c r="C43" i="4"/>
  <c r="J13" i="4"/>
  <c r="H6" i="4"/>
  <c r="H46" i="4" s="1"/>
  <c r="H7" i="4"/>
  <c r="H8" i="4"/>
  <c r="H9" i="4"/>
  <c r="H10" i="4"/>
  <c r="H11" i="4"/>
  <c r="H12" i="4"/>
  <c r="H14" i="4"/>
  <c r="H15" i="4"/>
  <c r="H16" i="4"/>
  <c r="H17" i="4"/>
  <c r="H18" i="4"/>
  <c r="H19" i="4"/>
  <c r="H20" i="4"/>
  <c r="H21" i="4"/>
  <c r="H22" i="4"/>
  <c r="H23" i="4"/>
  <c r="H24" i="4"/>
  <c r="H25" i="4"/>
  <c r="H26" i="4"/>
  <c r="H27" i="4"/>
  <c r="H28" i="4"/>
  <c r="H29" i="4"/>
  <c r="H32" i="4"/>
  <c r="H35" i="4"/>
  <c r="H36" i="4"/>
  <c r="H38" i="4"/>
  <c r="H39" i="4"/>
  <c r="H40" i="4"/>
  <c r="H41" i="4"/>
  <c r="H42" i="4"/>
  <c r="H43" i="4"/>
  <c r="H44" i="4"/>
  <c r="D31" i="4"/>
  <c r="B46" i="4"/>
  <c r="G44" i="4"/>
  <c r="N44" i="4" s="1"/>
  <c r="F44" i="4"/>
  <c r="N34" i="4"/>
  <c r="N32" i="4"/>
  <c r="N30" i="4"/>
  <c r="N27" i="4"/>
  <c r="G24" i="4"/>
  <c r="G23" i="4"/>
  <c r="N20" i="4"/>
  <c r="G19" i="4"/>
  <c r="F19" i="4"/>
  <c r="G12" i="4"/>
  <c r="F12" i="4"/>
  <c r="N10" i="4"/>
  <c r="G7" i="4"/>
  <c r="F7" i="4"/>
  <c r="C46" i="4"/>
  <c r="M46" i="4" l="1"/>
  <c r="N46" i="4" s="1"/>
</calcChain>
</file>

<file path=xl/sharedStrings.xml><?xml version="1.0" encoding="utf-8"?>
<sst xmlns="http://schemas.openxmlformats.org/spreadsheetml/2006/main" count="5592" uniqueCount="241">
  <si>
    <t>Australia</t>
  </si>
  <si>
    <t>Austria</t>
  </si>
  <si>
    <t>Belgium</t>
  </si>
  <si>
    <t>Brazil</t>
  </si>
  <si>
    <t>Canada</t>
  </si>
  <si>
    <t>Denmark</t>
  </si>
  <si>
    <t>Fiji</t>
  </si>
  <si>
    <t>Finland</t>
  </si>
  <si>
    <t>France</t>
  </si>
  <si>
    <t>Germany</t>
  </si>
  <si>
    <t>India</t>
  </si>
  <si>
    <t>Indonesia</t>
  </si>
  <si>
    <t>Italy</t>
  </si>
  <si>
    <t>Japan</t>
  </si>
  <si>
    <t>Malaysia</t>
  </si>
  <si>
    <t>Mexico</t>
  </si>
  <si>
    <t>Netherlands</t>
  </si>
  <si>
    <t>Norway</t>
  </si>
  <si>
    <t>Papua New Guinea</t>
  </si>
  <si>
    <t>Philippines</t>
  </si>
  <si>
    <t>Portugal</t>
  </si>
  <si>
    <t>Singapore</t>
  </si>
  <si>
    <t>South Africa</t>
  </si>
  <si>
    <t>Spain</t>
  </si>
  <si>
    <t>Sweden</t>
  </si>
  <si>
    <t>Switzerland</t>
  </si>
  <si>
    <t>Thailand</t>
  </si>
  <si>
    <t>Total</t>
  </si>
  <si>
    <t>-</t>
  </si>
  <si>
    <t>Britain</t>
  </si>
  <si>
    <t>Solomon Islands</t>
  </si>
  <si>
    <t>Taiwan</t>
  </si>
  <si>
    <t>Chile</t>
  </si>
  <si>
    <t>Peru</t>
  </si>
  <si>
    <t>Total forestry products</t>
  </si>
  <si>
    <t>Wood pulp</t>
  </si>
  <si>
    <t>Logs and poles</t>
  </si>
  <si>
    <t>Notes</t>
  </si>
  <si>
    <t>Country of origin</t>
  </si>
  <si>
    <t>Argentina</t>
  </si>
  <si>
    <t>China</t>
  </si>
  <si>
    <t>Hong Kong</t>
  </si>
  <si>
    <t>Korea</t>
  </si>
  <si>
    <t>Poland</t>
  </si>
  <si>
    <t>Slovakia</t>
  </si>
  <si>
    <t>USA</t>
  </si>
  <si>
    <t>Vietnam</t>
  </si>
  <si>
    <t>Myanmar</t>
  </si>
  <si>
    <t>Source</t>
  </si>
  <si>
    <t>Statistics New Zealand, Overseas Trade</t>
  </si>
  <si>
    <t>Symbol</t>
  </si>
  <si>
    <t>-   Nil</t>
  </si>
  <si>
    <t xml:space="preserve">Hong Kong </t>
  </si>
  <si>
    <t>Furniture and
furniture parts</t>
  </si>
  <si>
    <t>1  This table includes all those countries from which New Zealand imported NZ$ 1 million or more of forestry products during the year.</t>
  </si>
  <si>
    <t>2  Values are NZ$ c.i.f. (cost, insurance and freight) and may include items for which no quantities are given.</t>
  </si>
  <si>
    <t>3  Individual entries may not sum to stated totals due to rounding.</t>
  </si>
  <si>
    <t>Value</t>
  </si>
  <si>
    <t>Quantity</t>
  </si>
  <si>
    <r>
      <t>Quantity</t>
    </r>
    <r>
      <rPr>
        <b/>
        <vertAlign val="superscript"/>
        <sz val="8"/>
        <rFont val="Times New Roman"/>
        <family val="1"/>
      </rPr>
      <t>4</t>
    </r>
  </si>
  <si>
    <r>
      <t>(m</t>
    </r>
    <r>
      <rPr>
        <vertAlign val="superscript"/>
        <sz val="8"/>
        <rFont val="Times New Roman"/>
        <family val="1"/>
      </rPr>
      <t>3</t>
    </r>
    <r>
      <rPr>
        <sz val="8"/>
        <rFont val="Times New Roman"/>
        <family val="1"/>
      </rPr>
      <t>(r))</t>
    </r>
  </si>
  <si>
    <t>(NZ$000)</t>
  </si>
  <si>
    <r>
      <t>(m</t>
    </r>
    <r>
      <rPr>
        <vertAlign val="superscript"/>
        <sz val="8"/>
        <rFont val="Times New Roman"/>
        <family val="1"/>
      </rPr>
      <t>3</t>
    </r>
    <r>
      <rPr>
        <sz val="8"/>
        <rFont val="Times New Roman"/>
        <family val="1"/>
      </rPr>
      <t>(s))</t>
    </r>
  </si>
  <si>
    <t>(tonnes)</t>
  </si>
  <si>
    <r>
      <t>(m</t>
    </r>
    <r>
      <rPr>
        <vertAlign val="superscript"/>
        <sz val="8"/>
        <rFont val="Times New Roman"/>
        <family val="1"/>
      </rPr>
      <t>3</t>
    </r>
    <r>
      <rPr>
        <sz val="8"/>
        <rFont val="Times New Roman"/>
        <family val="1"/>
      </rPr>
      <t>)</t>
    </r>
  </si>
  <si>
    <t>Sawn timber
and sleepers</t>
  </si>
  <si>
    <t>Paper and
paperboard</t>
  </si>
  <si>
    <r>
      <t>4   m</t>
    </r>
    <r>
      <rPr>
        <vertAlign val="superscript"/>
        <sz val="8"/>
        <rFont val="Times New Roman"/>
        <family val="1"/>
      </rPr>
      <t>3</t>
    </r>
    <r>
      <rPr>
        <sz val="8"/>
        <rFont val="Times New Roman"/>
        <family val="1"/>
      </rPr>
      <t xml:space="preserve"> (r): cubic metres of roundwood.</t>
    </r>
  </si>
  <si>
    <r>
      <t>5  m</t>
    </r>
    <r>
      <rPr>
        <vertAlign val="superscript"/>
        <sz val="8"/>
        <rFont val="Times New Roman"/>
        <family val="1"/>
      </rPr>
      <t>3</t>
    </r>
    <r>
      <rPr>
        <sz val="8"/>
        <rFont val="Times New Roman"/>
        <family val="1"/>
      </rPr>
      <t xml:space="preserve"> (s): cubic metres of sawn timber.</t>
    </r>
  </si>
  <si>
    <r>
      <t>Quantity</t>
    </r>
    <r>
      <rPr>
        <b/>
        <vertAlign val="superscript"/>
        <sz val="8"/>
        <rFont val="Times New Roman"/>
        <family val="1"/>
      </rPr>
      <t>5</t>
    </r>
  </si>
  <si>
    <r>
      <t>Panel products</t>
    </r>
    <r>
      <rPr>
        <b/>
        <vertAlign val="superscript"/>
        <sz val="8"/>
        <rFont val="Times New Roman"/>
        <family val="1"/>
      </rPr>
      <t>6</t>
    </r>
  </si>
  <si>
    <r>
      <t>Other forestry products</t>
    </r>
    <r>
      <rPr>
        <b/>
        <vertAlign val="superscript"/>
        <sz val="8"/>
        <rFont val="Times New Roman"/>
        <family val="1"/>
      </rPr>
      <t>7</t>
    </r>
  </si>
  <si>
    <t>6  Panel products is the total of fibreboard, plywood, veneer and particleboard.</t>
  </si>
  <si>
    <t>7  Other forestry products includes manufactures of paper and paperboard and miscellaneous forestry products.</t>
  </si>
  <si>
    <t>8  Other countries are all other countries from which New Zealand has imported forestry products in the year.</t>
  </si>
  <si>
    <r>
      <t>Other countries</t>
    </r>
    <r>
      <rPr>
        <vertAlign val="superscript"/>
        <sz val="8"/>
        <rFont val="Times New Roman"/>
        <family val="1"/>
      </rPr>
      <t>8</t>
    </r>
  </si>
  <si>
    <r>
      <t>Table 10: Imports of forestry products into New Zealand by main countries of origin for the year ended June 2005</t>
    </r>
    <r>
      <rPr>
        <b/>
        <vertAlign val="superscript"/>
        <sz val="11"/>
        <rFont val="Times New Roman"/>
        <family val="1"/>
      </rPr>
      <t>1, 2, 3</t>
    </r>
    <r>
      <rPr>
        <b/>
        <sz val="11"/>
        <rFont val="Times New Roman"/>
        <family val="1"/>
      </rPr>
      <t xml:space="preserve"> </t>
    </r>
  </si>
  <si>
    <r>
      <t>Table 9: Imports of forestry products into New Zealand by main countries of origin for the year ended June 2004</t>
    </r>
    <r>
      <rPr>
        <b/>
        <vertAlign val="superscript"/>
        <sz val="11"/>
        <rFont val="Times New Roman"/>
        <family val="1"/>
      </rPr>
      <t>1, 2, 3</t>
    </r>
    <r>
      <rPr>
        <b/>
        <sz val="11"/>
        <rFont val="Times New Roman"/>
        <family val="1"/>
      </rPr>
      <t xml:space="preserve"> </t>
    </r>
  </si>
  <si>
    <r>
      <t>Table 8: Imports of forestry products into New Zealand by main countries of origin for the year ended June 2003</t>
    </r>
    <r>
      <rPr>
        <b/>
        <vertAlign val="superscript"/>
        <sz val="11"/>
        <rFont val="Times New Roman"/>
        <family val="1"/>
      </rPr>
      <t>1, 2, 3</t>
    </r>
    <r>
      <rPr>
        <b/>
        <sz val="11"/>
        <rFont val="Times New Roman"/>
        <family val="1"/>
      </rPr>
      <t xml:space="preserve"> </t>
    </r>
  </si>
  <si>
    <r>
      <t>Table 7: Imports of forestry products into New Zealand by main countries of origin for the year ended June 2002</t>
    </r>
    <r>
      <rPr>
        <b/>
        <vertAlign val="superscript"/>
        <sz val="11"/>
        <rFont val="Times New Roman"/>
        <family val="1"/>
      </rPr>
      <t>1, 2, 3</t>
    </r>
    <r>
      <rPr>
        <b/>
        <sz val="11"/>
        <rFont val="Times New Roman"/>
        <family val="1"/>
      </rPr>
      <t xml:space="preserve"> </t>
    </r>
  </si>
  <si>
    <r>
      <t>Table 6: Imports of forestry products into New Zealand by main countries of origin for the year ended June 2001</t>
    </r>
    <r>
      <rPr>
        <b/>
        <vertAlign val="superscript"/>
        <sz val="11"/>
        <rFont val="Times New Roman"/>
        <family val="1"/>
      </rPr>
      <t>1, 2, 3</t>
    </r>
    <r>
      <rPr>
        <b/>
        <sz val="11"/>
        <rFont val="Times New Roman"/>
        <family val="1"/>
      </rPr>
      <t xml:space="preserve"> </t>
    </r>
  </si>
  <si>
    <r>
      <t>Table 5: Imports of forestry products into New Zealand by main countries of origin for the year ended June 2000</t>
    </r>
    <r>
      <rPr>
        <b/>
        <vertAlign val="superscript"/>
        <sz val="11"/>
        <rFont val="Times New Roman"/>
        <family val="1"/>
      </rPr>
      <t>1, 2, 3</t>
    </r>
    <r>
      <rPr>
        <b/>
        <sz val="11"/>
        <rFont val="Times New Roman"/>
        <family val="1"/>
      </rPr>
      <t xml:space="preserve"> </t>
    </r>
  </si>
  <si>
    <r>
      <t>Table 4: Imports of forestry products into New Zealand by main countries of origin for the year ended June 1999</t>
    </r>
    <r>
      <rPr>
        <b/>
        <vertAlign val="superscript"/>
        <sz val="11"/>
        <rFont val="Times New Roman"/>
        <family val="1"/>
      </rPr>
      <t>1, 2, 3</t>
    </r>
    <r>
      <rPr>
        <b/>
        <sz val="11"/>
        <rFont val="Times New Roman"/>
        <family val="1"/>
      </rPr>
      <t xml:space="preserve"> </t>
    </r>
  </si>
  <si>
    <r>
      <t>Table 3: Imports of forestry products into New Zealand by main countries of origin for the year ended June1998</t>
    </r>
    <r>
      <rPr>
        <b/>
        <vertAlign val="superscript"/>
        <sz val="11"/>
        <rFont val="Times New Roman"/>
        <family val="1"/>
      </rPr>
      <t>1, 2, 3</t>
    </r>
    <r>
      <rPr>
        <b/>
        <sz val="11"/>
        <rFont val="Times New Roman"/>
        <family val="1"/>
      </rPr>
      <t xml:space="preserve"> </t>
    </r>
  </si>
  <si>
    <r>
      <t>Table 2: Imports of forestry products into New Zealand by main countries of origin for the year ended June1997</t>
    </r>
    <r>
      <rPr>
        <b/>
        <vertAlign val="superscript"/>
        <sz val="11"/>
        <rFont val="Times New Roman"/>
        <family val="1"/>
      </rPr>
      <t>1, 2, 3</t>
    </r>
    <r>
      <rPr>
        <b/>
        <sz val="11"/>
        <rFont val="Times New Roman"/>
        <family val="1"/>
      </rPr>
      <t xml:space="preserve"> </t>
    </r>
  </si>
  <si>
    <r>
      <t>Table 1: Imports of forestry products into New Zealand by main countries of origin for the year ended June1996</t>
    </r>
    <r>
      <rPr>
        <b/>
        <vertAlign val="superscript"/>
        <sz val="11"/>
        <rFont val="Times New Roman"/>
        <family val="1"/>
      </rPr>
      <t>1, 2, 3</t>
    </r>
    <r>
      <rPr>
        <b/>
        <sz val="11"/>
        <rFont val="Times New Roman"/>
        <family val="1"/>
      </rPr>
      <t xml:space="preserve"> </t>
    </r>
  </si>
  <si>
    <t>United Kingdom</t>
  </si>
  <si>
    <t>(m3(r))</t>
  </si>
  <si>
    <t>(m3(s))</t>
  </si>
  <si>
    <t>(m3)</t>
  </si>
  <si>
    <t>Sawn timber and sleepers</t>
  </si>
  <si>
    <t>Paper and paperboard</t>
  </si>
  <si>
    <t>Furniture and furniture parts</t>
  </si>
  <si>
    <r>
      <t>Other Countries</t>
    </r>
    <r>
      <rPr>
        <vertAlign val="superscript"/>
        <sz val="8"/>
        <rFont val="Times New Roman"/>
        <family val="1"/>
      </rPr>
      <t>8</t>
    </r>
  </si>
  <si>
    <r>
      <t>Table 11: Imports of forestry products into New Zealand by main countries of origin for the year ended June 2006</t>
    </r>
    <r>
      <rPr>
        <b/>
        <vertAlign val="superscript"/>
        <sz val="11"/>
        <rFont val="Times New Roman"/>
        <family val="1"/>
      </rPr>
      <t>1, 2, 3</t>
    </r>
  </si>
  <si>
    <t>United States of America</t>
  </si>
  <si>
    <t>Other Countries</t>
  </si>
  <si>
    <t>Statistics New Zealand. Compiled by Monitoring and Evaluation, innovation and Research Policy, Ministry of Agriculture and Forestry.</t>
  </si>
  <si>
    <t>-  Nil.</t>
  </si>
  <si>
    <r>
      <t>Table 12: Imports of forestry products into New Zealand by main countries of origin for the year ended June 2007</t>
    </r>
    <r>
      <rPr>
        <b/>
        <vertAlign val="superscript"/>
        <sz val="11"/>
        <rFont val="Times New Roman"/>
        <family val="1"/>
      </rPr>
      <t xml:space="preserve">1, 2, 3 </t>
    </r>
  </si>
  <si>
    <r>
      <t>Table 13: Imports of forestry products into New Zealand by main countries of origin for the year ended June 2008</t>
    </r>
    <r>
      <rPr>
        <b/>
        <vertAlign val="superscript"/>
        <sz val="11"/>
        <rFont val="Times New Roman"/>
        <family val="1"/>
      </rPr>
      <t xml:space="preserve">1, 2, 3 </t>
    </r>
    <r>
      <rPr>
        <b/>
        <sz val="11"/>
        <rFont val="Times New Roman"/>
        <family val="1"/>
      </rPr>
      <t xml:space="preserve"> (revised)</t>
    </r>
  </si>
  <si>
    <r>
      <t>Table 14: Imports of forestry products into New Zealand by main countries of origin for the year ended June 2009</t>
    </r>
    <r>
      <rPr>
        <b/>
        <vertAlign val="superscript"/>
        <sz val="11"/>
        <rFont val="Times New Roman"/>
        <family val="1"/>
      </rPr>
      <t xml:space="preserve">1, 2, 3 </t>
    </r>
    <r>
      <rPr>
        <b/>
        <sz val="11"/>
        <rFont val="Times New Roman"/>
        <family val="1"/>
      </rPr>
      <t xml:space="preserve"> (final)</t>
    </r>
  </si>
  <si>
    <t>Statistics New Zealand. Compiled by Monitoring and Evaluation Group, Ministry of Agriculture and Forestry.</t>
  </si>
  <si>
    <t>Statistics New Zealand. Information and Analysis, Ministry of Agriculture and Forestry.</t>
  </si>
  <si>
    <t>1  This table includes all those countries from which New Zealand imported NZ$1 million or more of forestry products during the year.</t>
  </si>
  <si>
    <t>-   Nil.</t>
  </si>
  <si>
    <t>Statistics New Zealand. Compiled by Information and Analysis, Ministry of Agriculture and Forestry.</t>
  </si>
  <si>
    <t>Viet Nam</t>
  </si>
  <si>
    <t>Korea, Republic of</t>
  </si>
  <si>
    <t>Hong Kong (Special Administrative Region)</t>
  </si>
  <si>
    <t>China, People's Republic of</t>
  </si>
  <si>
    <r>
      <t>Table 16: Imports of forestry products into New Zealand by main countries of origin for the year ended June 2011</t>
    </r>
    <r>
      <rPr>
        <b/>
        <vertAlign val="superscript"/>
        <sz val="11"/>
        <rFont val="Times New Roman"/>
        <family val="1"/>
      </rPr>
      <t>1, 2, 3</t>
    </r>
  </si>
  <si>
    <r>
      <t>Table 15: Imports of forestry products into New Zealand by main countries of origin for the year ended June 2010</t>
    </r>
    <r>
      <rPr>
        <b/>
        <vertAlign val="superscript"/>
        <sz val="11"/>
        <rFont val="Times New Roman"/>
        <family val="1"/>
      </rPr>
      <t>1, 2, 3</t>
    </r>
  </si>
  <si>
    <t>Technical Notes</t>
  </si>
  <si>
    <t>Statistical unit</t>
  </si>
  <si>
    <t>Description</t>
  </si>
  <si>
    <t>BDU</t>
  </si>
  <si>
    <t>bone dry unit</t>
  </si>
  <si>
    <t>CEN</t>
  </si>
  <si>
    <t>hundred</t>
  </si>
  <si>
    <t>DZN</t>
  </si>
  <si>
    <t>dozen</t>
  </si>
  <si>
    <t>GRM</t>
  </si>
  <si>
    <t>gram</t>
  </si>
  <si>
    <t>HBX</t>
  </si>
  <si>
    <t>hundred boxes</t>
  </si>
  <si>
    <t>HNK</t>
  </si>
  <si>
    <t>hank</t>
  </si>
  <si>
    <t>KGM</t>
  </si>
  <si>
    <t>kilogram</t>
  </si>
  <si>
    <t>KTC</t>
  </si>
  <si>
    <t>kilo of tobacco content</t>
  </si>
  <si>
    <t>LPA</t>
  </si>
  <si>
    <t>litre of pure alcohol</t>
  </si>
  <si>
    <t>LTR</t>
  </si>
  <si>
    <t>litre</t>
  </si>
  <si>
    <t>MIL</t>
  </si>
  <si>
    <t>thousand</t>
  </si>
  <si>
    <t>MTK</t>
  </si>
  <si>
    <t>square metre</t>
  </si>
  <si>
    <t>MTQ</t>
  </si>
  <si>
    <t>cubic metre</t>
  </si>
  <si>
    <t>MTR</t>
  </si>
  <si>
    <t>metre</t>
  </si>
  <si>
    <t>NCL</t>
  </si>
  <si>
    <t>cell</t>
  </si>
  <si>
    <t>NMB</t>
  </si>
  <si>
    <t>number</t>
  </si>
  <si>
    <t>NMP</t>
  </si>
  <si>
    <t>pack</t>
  </si>
  <si>
    <t>NPR</t>
  </si>
  <si>
    <t>pair</t>
  </si>
  <si>
    <t>NRL</t>
  </si>
  <si>
    <t>roll</t>
  </si>
  <si>
    <t>TNE</t>
  </si>
  <si>
    <t>tonne</t>
  </si>
  <si>
    <t>…</t>
  </si>
  <si>
    <t>not applicable (no quantity required)</t>
  </si>
  <si>
    <t>Definitions</t>
  </si>
  <si>
    <t>cif</t>
  </si>
  <si>
    <t>cost of goods, including insurance and freight to New Zealand</t>
  </si>
  <si>
    <t xml:space="preserve">fob </t>
  </si>
  <si>
    <t>free on board (the value of goods at New Zealand ports before export)</t>
  </si>
  <si>
    <t>merchandise trade</t>
  </si>
  <si>
    <t>exports or imports of goods that alter the nation's stock of material resources</t>
  </si>
  <si>
    <t>provisional</t>
  </si>
  <si>
    <t>statistics for the latest three months are provisional and can change each month</t>
  </si>
  <si>
    <t xml:space="preserve">re-exports </t>
  </si>
  <si>
    <t>exported goods that were earlier imported into New Zealand and comprise less</t>
  </si>
  <si>
    <t>than 50 percent New Zealand content by value</t>
  </si>
  <si>
    <t xml:space="preserve">re-imports </t>
  </si>
  <si>
    <t>imported goods that originated in New Zealand</t>
  </si>
  <si>
    <t>(after export from New Zealand they return in mostly the same condition)</t>
  </si>
  <si>
    <t xml:space="preserve">vfd </t>
  </si>
  <si>
    <t>value for duty (the value of imports before insurance and freight costs are added)</t>
  </si>
  <si>
    <t>Data source</t>
  </si>
  <si>
    <t>Data is obtained from export and import entry documents lodged with the New Zealand Customs Service. The data is processed and passed to Statistics New Zealand for further editing and compilation.</t>
  </si>
  <si>
    <t>Valuations</t>
  </si>
  <si>
    <r>
      <t>Exports</t>
    </r>
    <r>
      <rPr>
        <sz val="10"/>
        <rFont val="Arial"/>
        <family val="2"/>
      </rPr>
      <t xml:space="preserve"> (including re-exports) are valued fob (free on board) and are shown in New Zealand dollars. Estimated values are used for goods that are not already sold at the time of export entry lodgement.</t>
    </r>
  </si>
  <si>
    <r>
      <t>Imports</t>
    </r>
    <r>
      <rPr>
        <sz val="10"/>
        <rFont val="Arial"/>
        <family val="2"/>
      </rPr>
      <t xml:space="preserve"> are valued for both vfd (value for duty) and cif (cost including insurance and freight) and are shown in New Zealand dollars.</t>
    </r>
  </si>
  <si>
    <t>Exchange rates</t>
  </si>
  <si>
    <r>
      <t>Export</t>
    </r>
    <r>
      <rPr>
        <sz val="10"/>
        <rFont val="Arial"/>
        <family val="2"/>
      </rPr>
      <t xml:space="preserve"> values given in foreign currencies are converted by Statistics New Zealand into New Zealand dollars using weekly exchange rates when the statistics are compiled. For exports, a rise in the New Zealand dollar has a downward influence on prices, quantities and values.</t>
    </r>
  </si>
  <si>
    <r>
      <t>Import</t>
    </r>
    <r>
      <rPr>
        <sz val="10"/>
        <rFont val="Arial"/>
        <family val="2"/>
      </rPr>
      <t xml:space="preserve"> values are converted from foreign currencies when import documents are processed by the New Zealand Customs Service. The exchange rates used are set by Customs each fortnight. These rates are prepared 11 days prior to the start of the fortnight so have a lag of 11 to 25 days compared with spot rates. For imports, a rise in the New Zealand dollar has a downward influence on prices and an upward influence on quantities. The combined influence on values can be either positive or negative.</t>
    </r>
  </si>
  <si>
    <t>Time of recording</t>
  </si>
  <si>
    <r>
      <t>Exports</t>
    </r>
    <r>
      <rPr>
        <sz val="10"/>
        <rFont val="Arial"/>
        <family val="2"/>
      </rPr>
      <t xml:space="preserve">, from the August 1997 reference month, are compiled by date of </t>
    </r>
    <r>
      <rPr>
        <i/>
        <sz val="10"/>
        <rFont val="Arial"/>
        <family val="2"/>
      </rPr>
      <t>export</t>
    </r>
    <r>
      <rPr>
        <sz val="10"/>
        <rFont val="Arial"/>
        <family val="2"/>
      </rPr>
      <t>. Previously, exports were generally compiled according to date of clearance at the New Zealand Customs Service. This meant that some goods were allocated to the month following their actual month of export. Exports up to July 1997 that were not cleared until August 1997 were assigned to the month of August 1997.</t>
    </r>
  </si>
  <si>
    <r>
      <t>Imports</t>
    </r>
    <r>
      <rPr>
        <sz val="10"/>
        <rFont val="Arial"/>
        <family val="2"/>
      </rPr>
      <t xml:space="preserve"> are generally compiled by date of entry </t>
    </r>
    <r>
      <rPr>
        <i/>
        <sz val="10"/>
        <rFont val="Arial"/>
        <family val="2"/>
      </rPr>
      <t>clearance</t>
    </r>
    <r>
      <rPr>
        <sz val="10"/>
        <rFont val="Arial"/>
        <family val="2"/>
      </rPr>
      <t xml:space="preserve"> at the New Zealand Customs Service. Entries are normally required from up to five days before, to 20 working days after, arrival of the goods in New Zealand. Entries for crude oil are lodged later than this. Crude oil values for the latest month are calculated using actual quantities and country of origin data together with estimated prices. The estimated prices are replaced by actual prices a month later.</t>
    </r>
  </si>
  <si>
    <t>Area covered</t>
  </si>
  <si>
    <t>For the purpose of overseas trade statistics, "New Zealand" includes the North, South, and Stewart Islands as well as the Antipodes, Auckland, Bounty, Campbell, Kermadec and Chatham Islands, Ross Dependency in Antarctica and the Snares.</t>
  </si>
  <si>
    <t>Commodity classification</t>
  </si>
  <si>
    <t>Commodities are classified according to the New Zealand Harmonised System Classification (NZHSC) which is based on the International Harmonised System. The New Zealand Customs Tariff is aligned to the NZHSC.</t>
  </si>
  <si>
    <t>The NZHSC was revised, from the January 2002 reference month, to incorporate changes promulgated by the World Customs Organisation. Details can be found in the January 2002 Overseas Merchandise Trade (Imports) Hot Off The Press released on 28 February 2002. Changes to HS Chapters 48, 97 and 98 were incorporated from the April 2002 reference month.</t>
  </si>
  <si>
    <t>Exclusions from merchandise trade</t>
  </si>
  <si>
    <t xml:space="preserve"> - consignments valued under $1,000</t>
  </si>
  <si>
    <t xml:space="preserve"> - goods in transit</t>
  </si>
  <si>
    <t xml:space="preserve"> - ships and aircraft on commercial visits</t>
  </si>
  <si>
    <t xml:space="preserve"> - aircraft parts being re-positioned</t>
  </si>
  <si>
    <t xml:space="preserve"> - military deployment goods</t>
  </si>
  <si>
    <t xml:space="preserve"> - goods for repair or modification</t>
  </si>
  <si>
    <t xml:space="preserve"> - temporary imports/exports (eg yachts visiting New Zealand)</t>
  </si>
  <si>
    <t xml:space="preserve"> - goods on loan (for less than one year)</t>
  </si>
  <si>
    <t xml:space="preserve"> - returnable containers and samples</t>
  </si>
  <si>
    <t xml:space="preserve"> - replacement goods</t>
  </si>
  <si>
    <t xml:space="preserve"> - currency transactions in gold, silver or current coin</t>
  </si>
  <si>
    <t xml:space="preserve"> - passengers' baggage (other than duty-free exports and dutiable imports)</t>
  </si>
  <si>
    <t xml:space="preserve"> - household effects (other than vehicles, aircraft and vessels)</t>
  </si>
  <si>
    <t xml:space="preserve"> - diplomatic goods (other than motor vehicles)</t>
  </si>
  <si>
    <t xml:space="preserve"> - goods donated for foreign-aid projects</t>
  </si>
  <si>
    <t xml:space="preserve"> - fish landed in New Zealand</t>
  </si>
  <si>
    <t xml:space="preserve"> - services, eg customised computer programs and drawings</t>
  </si>
  <si>
    <t>Overseas cargo</t>
  </si>
  <si>
    <t>Value and gross weight statistics are compiled for goods that are loaded or unloaded at New Zealand sea ports and airports. Overseas cargo statistics can differ from overseas merchandise trade statistics because some goods sent as cargo (eg engines for repair) are not merchandise whereas some merchandise goods (eg aircraft, ships and oil rigs) arrive under their own power so are not cargo.</t>
  </si>
  <si>
    <t>Countries</t>
  </si>
  <si>
    <r>
      <t>Exports</t>
    </r>
    <r>
      <rPr>
        <sz val="10"/>
        <rFont val="Arial"/>
        <family val="2"/>
      </rPr>
      <t xml:space="preserve"> are normally classified according to the 'country of destination' as shown on the export entry.</t>
    </r>
  </si>
  <si>
    <r>
      <t>Imports</t>
    </r>
    <r>
      <rPr>
        <sz val="10"/>
        <rFont val="Arial"/>
        <family val="2"/>
      </rPr>
      <t xml:space="preserve"> are normally classified according to the 'country of origin' as shown on the import entry.
The 'country of export' (ie country where goods to New Zealand are first loaded) is also available.</t>
    </r>
  </si>
  <si>
    <t>Confidential items</t>
  </si>
  <si>
    <t>Under Section 37A (d) of the Statistics Act, the Government Statistician may disclose details of external trade, movement of ships, and cargo handled at ports. However, Statistics New Zealand understands that the release of merchandise trade commodity information can, in some cases, place commercially sensitive information in the public domain. This can have detrimental effects upon companies that export and/or import goods. In light of such circumstances, Statistics New Zealand is able to provide a limited form of confidential status for commodity items (at the discretion of the Government Statistician) upon application by a company or business.</t>
  </si>
  <si>
    <t xml:space="preserve">The confidential status applies to all imports or exports data relating to the suppressed commodity code and applies on a rolling basis to the latest 3, 6, 12 or 24 months of data available for imports or exports. </t>
  </si>
  <si>
    <t>Limitations of data</t>
  </si>
  <si>
    <t>Considerable reliance is placed on exporters/importers and their agents providing correct data, but before it is compiled and released by Statistics New Zealand it is validated and detected errors are corrected. Statistics New Zealand uses over 100 types of edit checks but gives no warranty that all errors are detected and corrected.</t>
  </si>
  <si>
    <t>Some exports data is provided late to the New Zealand Customs Service, so is estimated. This estimate is included in total exports but is not allocated by specific country or commodity. It is calculated from the value of late data received after the processing cut-off date, with adjustment to allow for expected further late data. Imports are compiled on a 'date of lodgement' basis so are not affected by late data.</t>
  </si>
  <si>
    <r>
      <t xml:space="preserve">The </t>
    </r>
    <r>
      <rPr>
        <i/>
        <sz val="10"/>
        <rFont val="Arial"/>
        <family val="2"/>
      </rPr>
      <t>apportioned gross weight</t>
    </r>
    <r>
      <rPr>
        <sz val="10"/>
        <rFont val="Arial"/>
        <family val="2"/>
      </rPr>
      <t xml:space="preserve"> field contains estimates and should be treated with caution. Estimates are needed because gross weights are received at the consignment level (the whole entry), not the item level (each line in an entry). Statistics New Zealand apportions the consignment gross weights to obtain estimated gross weights (in kilograms) for all items, including those whose nett weight is already supplied.</t>
    </r>
  </si>
  <si>
    <r>
      <t xml:space="preserve">The New Zealand </t>
    </r>
    <r>
      <rPr>
        <i/>
        <sz val="10"/>
        <color indexed="8"/>
        <rFont val="Arial"/>
        <family val="2"/>
      </rPr>
      <t>port of loading</t>
    </r>
    <r>
      <rPr>
        <sz val="10"/>
        <color indexed="8"/>
        <rFont val="Arial"/>
        <family val="2"/>
      </rPr>
      <t xml:space="preserve"> and </t>
    </r>
    <r>
      <rPr>
        <i/>
        <sz val="10"/>
        <color indexed="8"/>
        <rFont val="Arial"/>
        <family val="2"/>
      </rPr>
      <t>port of discharge</t>
    </r>
    <r>
      <rPr>
        <sz val="10"/>
        <color indexed="8"/>
        <rFont val="Arial"/>
        <family val="2"/>
      </rPr>
      <t xml:space="preserve"> fields are edited by Statistics New Zealand at a high level but are not fully validated at the aircraft or vessel level.</t>
    </r>
  </si>
  <si>
    <r>
      <t xml:space="preserve">The overseas </t>
    </r>
    <r>
      <rPr>
        <i/>
        <sz val="10"/>
        <color indexed="8"/>
        <rFont val="Arial"/>
        <family val="2"/>
      </rPr>
      <t>port of loading</t>
    </r>
    <r>
      <rPr>
        <sz val="10"/>
        <color indexed="8"/>
        <rFont val="Arial"/>
        <family val="2"/>
      </rPr>
      <t xml:space="preserve"> and </t>
    </r>
    <r>
      <rPr>
        <i/>
        <sz val="10"/>
        <color indexed="8"/>
        <rFont val="Arial"/>
        <family val="2"/>
      </rPr>
      <t>port of discharge</t>
    </r>
    <r>
      <rPr>
        <sz val="10"/>
        <color indexed="8"/>
        <rFont val="Arial"/>
        <family val="2"/>
      </rPr>
      <t xml:space="preserve"> fields are generally unedited.
For imports, the port of loading is the </t>
    </r>
    <r>
      <rPr>
        <i/>
        <sz val="10"/>
        <color indexed="8"/>
        <rFont val="Arial"/>
        <family val="2"/>
      </rPr>
      <t>last</t>
    </r>
    <r>
      <rPr>
        <sz val="10"/>
        <color indexed="8"/>
        <rFont val="Arial"/>
        <family val="2"/>
      </rPr>
      <t xml:space="preserve"> port of loading before the goods arrive in New Zealand.
For exports, the port of discharge is the </t>
    </r>
    <r>
      <rPr>
        <i/>
        <sz val="10"/>
        <color indexed="8"/>
        <rFont val="Arial"/>
        <family val="2"/>
      </rPr>
      <t>first</t>
    </r>
    <r>
      <rPr>
        <sz val="10"/>
        <color indexed="8"/>
        <rFont val="Arial"/>
        <family val="2"/>
      </rPr>
      <t xml:space="preserve"> port of unloading after the goods leave New Zealand.</t>
    </r>
  </si>
  <si>
    <r>
      <t>Table 17: Imports of forestry products into New Zealand by main countries of origin for the year ended June 2012</t>
    </r>
    <r>
      <rPr>
        <b/>
        <vertAlign val="superscript"/>
        <sz val="11"/>
        <rFont val="Times New Roman"/>
        <family val="1"/>
      </rPr>
      <t>1, 2, 3</t>
    </r>
  </si>
  <si>
    <t>Statistics New Zealand. Compiled by Resource Information and Analysis, Ministry for Primary Industries.</t>
  </si>
  <si>
    <t>Statistics New Zealand. Compiled by Sector Data and Analysis, Ministry for Primary Industries.</t>
  </si>
  <si>
    <r>
      <t>Table 19: Imports of forestry products into New Zealand by main countries of origin for the year ended June 2014</t>
    </r>
    <r>
      <rPr>
        <b/>
        <vertAlign val="superscript"/>
        <sz val="11"/>
        <rFont val="Times New Roman"/>
        <family val="1"/>
      </rPr>
      <t xml:space="preserve">1, 2, 3 </t>
    </r>
    <r>
      <rPr>
        <b/>
        <sz val="11"/>
        <rFont val="Times New Roman"/>
        <family val="1"/>
      </rPr>
      <t xml:space="preserve"> </t>
    </r>
  </si>
  <si>
    <t>R</t>
  </si>
  <si>
    <r>
      <t>Table 18: Imports of forestry products into New Zealand by main countries of origin for the year ended June 2013</t>
    </r>
    <r>
      <rPr>
        <b/>
        <vertAlign val="superscript"/>
        <sz val="11"/>
        <rFont val="Times New Roman"/>
        <family val="1"/>
      </rPr>
      <t xml:space="preserve">1, 2, 3 </t>
    </r>
    <r>
      <rPr>
        <b/>
        <sz val="11"/>
        <rFont val="Times New Roman"/>
        <family val="1"/>
      </rPr>
      <t xml:space="preserve"> </t>
    </r>
  </si>
  <si>
    <t>Bolivia</t>
  </si>
  <si>
    <t>Czech Republic</t>
  </si>
  <si>
    <t>Guyana</t>
  </si>
  <si>
    <t>Hungary</t>
  </si>
  <si>
    <t>Latvia</t>
  </si>
  <si>
    <t>New Zealand</t>
  </si>
  <si>
    <t>Russia</t>
  </si>
  <si>
    <r>
      <t>Paper and Paperboard</t>
    </r>
    <r>
      <rPr>
        <b/>
        <vertAlign val="superscript"/>
        <sz val="8"/>
        <rFont val="Times New Roman"/>
        <family val="1"/>
      </rPr>
      <t>9</t>
    </r>
  </si>
  <si>
    <t xml:space="preserve">9. Paper and paperboard excludes newsprint </t>
  </si>
  <si>
    <r>
      <t>Table 20: Imports of forestry products into New Zealand by main countries of origin for the year ended June 2015</t>
    </r>
    <r>
      <rPr>
        <b/>
        <vertAlign val="superscript"/>
        <sz val="11"/>
        <rFont val="Times New Roman"/>
        <family val="1"/>
      </rPr>
      <t xml:space="preserve">1, 2, 3 </t>
    </r>
  </si>
  <si>
    <r>
      <t>Table 21: Imports of forestry products into New Zealand by main countries of origin for the year ended June 2016</t>
    </r>
    <r>
      <rPr>
        <b/>
        <vertAlign val="superscript"/>
        <sz val="11"/>
        <rFont val="Times New Roman"/>
        <family val="1"/>
      </rPr>
      <t xml:space="preserve">1, 2, 3 </t>
    </r>
  </si>
  <si>
    <r>
      <t>Table 22: Imports of forestry products into New Zealand by main countries of origin for the year ended June 2017</t>
    </r>
    <r>
      <rPr>
        <b/>
        <vertAlign val="superscript"/>
        <sz val="11"/>
        <rFont val="Times New Roman"/>
        <family val="1"/>
      </rPr>
      <t xml:space="preserve">1, 2, 3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</si>
</sst>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 ###"/>
    <numFmt numFmtId="165" formatCode="#,##0.000"/>
    <numFmt numFmtId="166" formatCode="###.0\ ###"/>
    <numFmt numFmtId="167" formatCode="###\ ###\ ###"/>
    <numFmt numFmtId="168" formatCode="#\ ###\ ##0"/>
  </numFmts>
  <fonts count="29" x14ac:knownFonts="1">
    <font>
      <sz val="10"/>
      <name val="Arial"/>
    </font>
    <font>
      <sz val="10"/>
      <name val="Arial"/>
      <family val="2"/>
    </font>
    <font>
      <sz val="8"/>
      <name val="Arial"/>
      <family val="2"/>
    </font>
    <font>
      <sz val="10"/>
      <name val="Times New Roman"/>
      <family val="1"/>
    </font>
    <font>
      <b/>
      <sz val="11"/>
      <name val="Times New Roman"/>
      <family val="1"/>
    </font>
    <font>
      <b/>
      <vertAlign val="superscript"/>
      <sz val="11"/>
      <name val="Times New Roman"/>
      <family val="1"/>
    </font>
    <font>
      <sz val="11"/>
      <name val="Times New Roman"/>
      <family val="1"/>
    </font>
    <font>
      <b/>
      <sz val="8"/>
      <name val="Times New Roman"/>
      <family val="1"/>
    </font>
    <font>
      <b/>
      <vertAlign val="superscript"/>
      <sz val="8"/>
      <name val="Times New Roman"/>
      <family val="1"/>
    </font>
    <font>
      <sz val="8"/>
      <name val="Times New Roman"/>
      <family val="1"/>
    </font>
    <font>
      <vertAlign val="superscript"/>
      <sz val="8"/>
      <name val="Times New Roman"/>
      <family val="1"/>
    </font>
    <font>
      <sz val="9"/>
      <name val="Times New Roman"/>
      <family val="1"/>
    </font>
    <font>
      <sz val="8"/>
      <color indexed="8"/>
      <name val="Times New Roman"/>
      <family val="1"/>
    </font>
    <font>
      <b/>
      <sz val="8"/>
      <color indexed="8"/>
      <name val="Times New Roman"/>
      <family val="1"/>
    </font>
    <font>
      <sz val="9"/>
      <color indexed="10"/>
      <name val="Times New Roman"/>
      <family val="1"/>
    </font>
    <font>
      <b/>
      <sz val="9"/>
      <name val="Times New Roman"/>
      <family val="1"/>
    </font>
    <font>
      <b/>
      <sz val="8"/>
      <color indexed="10"/>
      <name val="Times New Roman"/>
      <family val="1"/>
    </font>
    <font>
      <sz val="8"/>
      <color indexed="10"/>
      <name val="Times New Roman"/>
      <family val="1"/>
    </font>
    <font>
      <b/>
      <sz val="9"/>
      <color indexed="10"/>
      <name val="Times New Roman"/>
      <family val="1"/>
    </font>
    <font>
      <b/>
      <sz val="10"/>
      <name val="Times New Roman"/>
      <family val="1"/>
    </font>
    <font>
      <sz val="9"/>
      <color indexed="8"/>
      <name val="Times New Roman"/>
      <family val="1"/>
    </font>
    <font>
      <sz val="10"/>
      <color indexed="8"/>
      <name val="Times New Roman"/>
      <family val="1"/>
    </font>
    <font>
      <b/>
      <sz val="10"/>
      <name val="Arial"/>
      <family val="2"/>
    </font>
    <font>
      <b/>
      <sz val="17"/>
      <name val="Arial"/>
      <family val="2"/>
    </font>
    <font>
      <b/>
      <sz val="11"/>
      <name val="Arial"/>
      <family val="2"/>
    </font>
    <font>
      <u/>
      <sz val="10"/>
      <name val="Arial"/>
      <family val="2"/>
    </font>
    <font>
      <i/>
      <sz val="10"/>
      <name val="Arial"/>
      <family val="2"/>
    </font>
    <font>
      <sz val="10"/>
      <color indexed="8"/>
      <name val="Arial"/>
      <family val="2"/>
    </font>
    <font>
      <i/>
      <sz val="10"/>
      <color indexed="8"/>
      <name val="Arial"/>
      <family val="2"/>
    </font>
  </fonts>
  <fills count="3">
    <fill>
      <patternFill patternType="none"/>
    </fill>
    <fill>
      <patternFill patternType="gray125"/>
    </fill>
    <fill>
      <patternFill patternType="solid">
        <fgColor indexed="9"/>
        <bgColor indexed="64"/>
      </patternFill>
    </fill>
  </fills>
  <borders count="2">
    <border>
      <left/>
      <right/>
      <top/>
      <bottom/>
      <diagonal/>
    </border>
    <border>
      <left/>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xf numFmtId="0" fontId="6" fillId="0" borderId="0" xfId="0" applyFont="1"/>
    <xf numFmtId="0" fontId="7" fillId="0" borderId="0" xfId="0" applyFont="1" applyBorder="1"/>
    <xf numFmtId="0" fontId="9" fillId="0" borderId="0" xfId="0" applyFont="1" applyBorder="1"/>
    <xf numFmtId="0" fontId="9" fillId="0" borderId="0" xfId="0" applyFont="1"/>
    <xf numFmtId="164" fontId="9" fillId="0" borderId="0" xfId="0" applyNumberFormat="1" applyFont="1" applyAlignment="1">
      <alignment horizontal="right"/>
    </xf>
    <xf numFmtId="164" fontId="7" fillId="0" borderId="0" xfId="0" applyNumberFormat="1" applyFont="1" applyAlignment="1">
      <alignment horizontal="right"/>
    </xf>
    <xf numFmtId="0" fontId="7" fillId="0" borderId="0" xfId="0" applyFont="1"/>
    <xf numFmtId="164" fontId="7" fillId="0" borderId="0" xfId="0" applyNumberFormat="1" applyFont="1" applyBorder="1" applyAlignment="1">
      <alignment horizontal="right"/>
    </xf>
    <xf numFmtId="0" fontId="11" fillId="0" borderId="0" xfId="0" applyFont="1" applyBorder="1"/>
    <xf numFmtId="164" fontId="9" fillId="0" borderId="0" xfId="0" applyNumberFormat="1" applyFont="1" applyBorder="1" applyAlignment="1" applyProtection="1">
      <alignment horizontal="right" vertical="center"/>
    </xf>
    <xf numFmtId="164" fontId="9" fillId="0" borderId="0" xfId="0" applyNumberFormat="1" applyFont="1" applyBorder="1" applyAlignment="1" applyProtection="1">
      <alignment vertical="center"/>
    </xf>
    <xf numFmtId="164" fontId="7" fillId="0" borderId="0" xfId="0" applyNumberFormat="1" applyFont="1" applyBorder="1" applyAlignment="1" applyProtection="1">
      <alignment vertical="center"/>
    </xf>
    <xf numFmtId="164" fontId="9" fillId="0" borderId="0" xfId="0" applyNumberFormat="1" applyFont="1" applyBorder="1" applyProtection="1"/>
    <xf numFmtId="164" fontId="9" fillId="0" borderId="0" xfId="0" applyNumberFormat="1" applyFont="1" applyBorder="1" applyAlignment="1" applyProtection="1">
      <alignment horizontal="right"/>
    </xf>
    <xf numFmtId="164" fontId="7" fillId="0" borderId="0" xfId="0" applyNumberFormat="1" applyFont="1" applyBorder="1" applyProtection="1"/>
    <xf numFmtId="164" fontId="12" fillId="0" borderId="0" xfId="0" applyNumberFormat="1" applyFont="1" applyBorder="1" applyAlignment="1" applyProtection="1">
      <alignment horizontal="right"/>
    </xf>
    <xf numFmtId="164" fontId="12" fillId="0" borderId="0" xfId="0" applyNumberFormat="1" applyFont="1" applyBorder="1" applyProtection="1"/>
    <xf numFmtId="164" fontId="9" fillId="0" borderId="0" xfId="0" quotePrefix="1" applyNumberFormat="1" applyFont="1" applyBorder="1" applyAlignment="1" applyProtection="1">
      <alignment horizontal="right"/>
    </xf>
    <xf numFmtId="164" fontId="13" fillId="0" borderId="0" xfId="0" applyNumberFormat="1" applyFont="1" applyBorder="1" applyProtection="1"/>
    <xf numFmtId="164" fontId="9" fillId="0" borderId="0" xfId="0" applyNumberFormat="1" applyFont="1" applyBorder="1"/>
    <xf numFmtId="164" fontId="7" fillId="0" borderId="1" xfId="0" applyNumberFormat="1" applyFont="1" applyBorder="1" applyProtection="1"/>
    <xf numFmtId="164" fontId="9" fillId="0" borderId="0" xfId="0" applyNumberFormat="1" applyFont="1" applyBorder="1" applyAlignment="1" applyProtection="1"/>
    <xf numFmtId="0" fontId="7" fillId="0" borderId="0" xfId="0" quotePrefix="1" applyFont="1" applyBorder="1" applyAlignment="1" applyProtection="1">
      <alignment horizontal="left"/>
    </xf>
    <xf numFmtId="0" fontId="14" fillId="0" borderId="0" xfId="0" applyFont="1" applyBorder="1"/>
    <xf numFmtId="0" fontId="15" fillId="0" borderId="0" xfId="0" applyFont="1" applyBorder="1"/>
    <xf numFmtId="3" fontId="11" fillId="0" borderId="0" xfId="0" applyNumberFormat="1" applyFont="1" applyBorder="1" applyProtection="1"/>
    <xf numFmtId="164" fontId="11" fillId="0" borderId="0" xfId="0" applyNumberFormat="1" applyFont="1" applyBorder="1" applyProtection="1"/>
    <xf numFmtId="0" fontId="11" fillId="0" borderId="0" xfId="0" applyFont="1" applyBorder="1" applyAlignment="1" applyProtection="1">
      <alignment horizontal="left"/>
    </xf>
    <xf numFmtId="0" fontId="12" fillId="0" borderId="0" xfId="0" applyFont="1"/>
    <xf numFmtId="0" fontId="9" fillId="0" borderId="0" xfId="0" applyFont="1" applyAlignment="1"/>
    <xf numFmtId="0" fontId="16" fillId="0" borderId="0" xfId="0" applyFont="1" applyBorder="1"/>
    <xf numFmtId="37" fontId="9" fillId="0" borderId="0" xfId="0" applyNumberFormat="1" applyFont="1" applyBorder="1" applyProtection="1"/>
    <xf numFmtId="3" fontId="9" fillId="0" borderId="0" xfId="0" applyNumberFormat="1" applyFont="1" applyBorder="1" applyProtection="1"/>
    <xf numFmtId="37" fontId="7" fillId="0" borderId="0" xfId="0" applyNumberFormat="1" applyFont="1" applyBorder="1" applyProtection="1"/>
    <xf numFmtId="165" fontId="7" fillId="0" borderId="0" xfId="0" applyNumberFormat="1" applyFont="1" applyAlignment="1">
      <alignment wrapText="1"/>
    </xf>
    <xf numFmtId="0" fontId="17" fillId="0" borderId="0" xfId="0" applyFont="1" applyBorder="1"/>
    <xf numFmtId="0" fontId="9" fillId="0" borderId="0" xfId="0" applyFont="1" applyBorder="1" applyAlignment="1" applyProtection="1">
      <alignment horizontal="left"/>
    </xf>
    <xf numFmtId="0" fontId="12" fillId="0" borderId="0" xfId="0" applyFont="1" applyBorder="1"/>
    <xf numFmtId="0" fontId="12" fillId="0" borderId="0" xfId="0" applyFont="1" applyBorder="1" applyAlignment="1" applyProtection="1">
      <alignment horizontal="left"/>
    </xf>
    <xf numFmtId="0" fontId="9" fillId="0" borderId="0" xfId="0" quotePrefix="1" applyFont="1" applyBorder="1" applyAlignment="1" applyProtection="1">
      <alignment horizontal="left"/>
    </xf>
    <xf numFmtId="37" fontId="9" fillId="0" borderId="0" xfId="0" applyNumberFormat="1" applyFont="1" applyBorder="1"/>
    <xf numFmtId="37" fontId="7" fillId="0" borderId="1" xfId="0" applyNumberFormat="1" applyFont="1" applyBorder="1" applyProtection="1"/>
    <xf numFmtId="3" fontId="7" fillId="0" borderId="0" xfId="0" applyNumberFormat="1" applyFont="1" applyBorder="1" applyProtection="1"/>
    <xf numFmtId="166" fontId="7" fillId="0" borderId="0" xfId="0" applyNumberFormat="1" applyFont="1" applyBorder="1"/>
    <xf numFmtId="0" fontId="17" fillId="0" borderId="0" xfId="0" applyFont="1" applyBorder="1" applyAlignment="1" applyProtection="1">
      <alignment horizontal="left"/>
    </xf>
    <xf numFmtId="164" fontId="17" fillId="0" borderId="0" xfId="0" applyNumberFormat="1" applyFont="1" applyBorder="1" applyAlignment="1" applyProtection="1">
      <alignment horizontal="right"/>
    </xf>
    <xf numFmtId="0" fontId="17" fillId="0" borderId="0" xfId="0" applyFont="1"/>
    <xf numFmtId="3" fontId="7" fillId="0" borderId="1" xfId="0" applyNumberFormat="1" applyFont="1" applyBorder="1" applyProtection="1"/>
    <xf numFmtId="164" fontId="7" fillId="0" borderId="0" xfId="0" applyNumberFormat="1" applyFont="1" applyBorder="1" applyAlignment="1" applyProtection="1"/>
    <xf numFmtId="164" fontId="12" fillId="0" borderId="0" xfId="0" applyNumberFormat="1" applyFont="1" applyBorder="1" applyAlignment="1" applyProtection="1"/>
    <xf numFmtId="164" fontId="9" fillId="0" borderId="0" xfId="0" quotePrefix="1" applyNumberFormat="1" applyFont="1" applyBorder="1" applyAlignment="1" applyProtection="1"/>
    <xf numFmtId="164" fontId="13" fillId="0" borderId="0" xfId="0" applyNumberFormat="1" applyFont="1" applyBorder="1" applyAlignment="1" applyProtection="1"/>
    <xf numFmtId="164" fontId="9" fillId="0" borderId="0" xfId="0" applyNumberFormat="1" applyFont="1" applyBorder="1" applyAlignment="1"/>
    <xf numFmtId="164" fontId="15" fillId="0" borderId="0" xfId="0" applyNumberFormat="1" applyFont="1" applyBorder="1" applyProtection="1"/>
    <xf numFmtId="164" fontId="15" fillId="0" borderId="1" xfId="0" applyNumberFormat="1" applyFont="1" applyBorder="1" applyProtection="1"/>
    <xf numFmtId="0" fontId="18" fillId="0" borderId="0" xfId="0" applyFont="1" applyBorder="1"/>
    <xf numFmtId="0" fontId="15" fillId="0" borderId="0" xfId="0" quotePrefix="1" applyFont="1" applyBorder="1" applyAlignment="1" applyProtection="1">
      <alignment horizontal="left"/>
    </xf>
    <xf numFmtId="165" fontId="19" fillId="0" borderId="0" xfId="0" applyNumberFormat="1" applyFont="1" applyAlignment="1">
      <alignment wrapText="1"/>
    </xf>
    <xf numFmtId="164" fontId="11" fillId="0" borderId="0" xfId="0" applyNumberFormat="1" applyFont="1" applyBorder="1" applyAlignment="1" applyProtection="1">
      <alignment horizontal="right"/>
    </xf>
    <xf numFmtId="3" fontId="11" fillId="0" borderId="0" xfId="0" applyNumberFormat="1" applyFont="1" applyBorder="1" applyAlignment="1" applyProtection="1">
      <alignment horizontal="right"/>
    </xf>
    <xf numFmtId="0" fontId="20" fillId="0" borderId="0" xfId="0" applyFont="1" applyBorder="1"/>
    <xf numFmtId="0" fontId="20" fillId="0" borderId="0" xfId="0" applyFont="1" applyBorder="1" applyAlignment="1" applyProtection="1">
      <alignment horizontal="left"/>
    </xf>
    <xf numFmtId="164" fontId="20" fillId="0" borderId="0" xfId="0" applyNumberFormat="1" applyFont="1" applyBorder="1" applyAlignment="1" applyProtection="1">
      <alignment horizontal="right"/>
    </xf>
    <xf numFmtId="3" fontId="20" fillId="0" borderId="0" xfId="0" applyNumberFormat="1" applyFont="1" applyBorder="1" applyAlignment="1" applyProtection="1">
      <alignment horizontal="right"/>
    </xf>
    <xf numFmtId="3" fontId="11" fillId="0" borderId="0" xfId="0" quotePrefix="1" applyNumberFormat="1" applyFont="1" applyBorder="1" applyAlignment="1" applyProtection="1">
      <alignment horizontal="right"/>
    </xf>
    <xf numFmtId="0" fontId="11" fillId="0" borderId="0" xfId="0" quotePrefix="1" applyFont="1" applyBorder="1" applyAlignment="1" applyProtection="1">
      <alignment horizontal="left"/>
    </xf>
    <xf numFmtId="0" fontId="19" fillId="0" borderId="0" xfId="0" applyFont="1"/>
    <xf numFmtId="37" fontId="11" fillId="0" borderId="0" xfId="0" applyNumberFormat="1" applyFont="1" applyBorder="1"/>
    <xf numFmtId="0" fontId="21" fillId="0" borderId="0" xfId="0" applyFont="1"/>
    <xf numFmtId="166" fontId="15" fillId="0" borderId="0" xfId="0" applyNumberFormat="1" applyFont="1" applyBorder="1"/>
    <xf numFmtId="3" fontId="15" fillId="0" borderId="0" xfId="0" applyNumberFormat="1" applyFont="1" applyBorder="1" applyProtection="1"/>
    <xf numFmtId="0" fontId="14" fillId="0" borderId="0" xfId="0" applyFont="1" applyBorder="1" applyAlignment="1" applyProtection="1">
      <alignment horizontal="left"/>
    </xf>
    <xf numFmtId="164" fontId="14" fillId="0" borderId="0" xfId="0" applyNumberFormat="1" applyFont="1" applyBorder="1" applyAlignment="1" applyProtection="1">
      <alignment horizontal="right"/>
    </xf>
    <xf numFmtId="3" fontId="14" fillId="0" borderId="0" xfId="0" quotePrefix="1" applyNumberFormat="1" applyFont="1" applyBorder="1" applyAlignment="1" applyProtection="1">
      <alignment horizontal="right"/>
    </xf>
    <xf numFmtId="0" fontId="4" fillId="0" borderId="0" xfId="0" applyFont="1" applyBorder="1"/>
    <xf numFmtId="0" fontId="7" fillId="0" borderId="0" xfId="0" applyFont="1" applyBorder="1" applyAlignment="1">
      <alignment vertical="center"/>
    </xf>
    <xf numFmtId="0" fontId="9" fillId="0" borderId="0" xfId="0" applyFont="1" applyBorder="1" applyAlignment="1">
      <alignment wrapText="1"/>
    </xf>
    <xf numFmtId="0" fontId="7" fillId="0" borderId="0" xfId="0" applyFont="1" applyBorder="1" applyAlignment="1">
      <alignment horizontal="left"/>
    </xf>
    <xf numFmtId="0" fontId="9" fillId="0" borderId="0" xfId="0" applyFont="1" applyBorder="1" applyAlignment="1">
      <alignment horizontal="left"/>
    </xf>
    <xf numFmtId="49" fontId="9" fillId="0" borderId="0" xfId="0" applyNumberFormat="1" applyFont="1" applyBorder="1"/>
    <xf numFmtId="0" fontId="3" fillId="0" borderId="0" xfId="0" applyFont="1" applyBorder="1"/>
    <xf numFmtId="0" fontId="9" fillId="0" borderId="0" xfId="0" applyFont="1" applyBorder="1" applyAlignment="1">
      <alignment vertical="center"/>
    </xf>
    <xf numFmtId="0" fontId="7" fillId="0" borderId="1" xfId="0" quotePrefix="1" applyFont="1" applyBorder="1" applyAlignment="1" applyProtection="1">
      <alignment horizontal="left"/>
    </xf>
    <xf numFmtId="0" fontId="7" fillId="0" borderId="1" xfId="0" applyFont="1" applyBorder="1"/>
    <xf numFmtId="164" fontId="7" fillId="0" borderId="1" xfId="0" applyNumberFormat="1" applyFont="1" applyBorder="1" applyAlignment="1">
      <alignment horizontal="right"/>
    </xf>
    <xf numFmtId="164" fontId="7" fillId="0" borderId="1" xfId="0" applyNumberFormat="1" applyFont="1" applyBorder="1" applyAlignment="1" applyProtection="1"/>
    <xf numFmtId="0" fontId="9" fillId="0" borderId="1" xfId="0" applyFont="1" applyBorder="1" applyAlignment="1">
      <alignment horizontal="right" wrapText="1"/>
    </xf>
    <xf numFmtId="0" fontId="7" fillId="0" borderId="0" xfId="0" applyFont="1" applyBorder="1" applyAlignment="1">
      <alignment horizontal="right" vertical="center"/>
    </xf>
    <xf numFmtId="0" fontId="7" fillId="0" borderId="0" xfId="0" applyFont="1" applyBorder="1" applyAlignment="1">
      <alignment horizontal="right" vertical="center" wrapText="1"/>
    </xf>
    <xf numFmtId="167" fontId="9" fillId="0" borderId="0" xfId="0" applyNumberFormat="1" applyFont="1" applyAlignment="1">
      <alignment horizontal="right"/>
    </xf>
    <xf numFmtId="167" fontId="7" fillId="0" borderId="1" xfId="0" applyNumberFormat="1" applyFont="1" applyBorder="1" applyAlignment="1">
      <alignment horizontal="right"/>
    </xf>
    <xf numFmtId="0" fontId="7" fillId="0" borderId="0" xfId="0" applyFont="1" applyBorder="1" applyAlignment="1">
      <alignment horizontal="center" vertical="center" wrapText="1"/>
    </xf>
    <xf numFmtId="0" fontId="9" fillId="0" borderId="1" xfId="0" applyFont="1" applyBorder="1"/>
    <xf numFmtId="167" fontId="9" fillId="0" borderId="0" xfId="0" applyNumberFormat="1" applyFont="1"/>
    <xf numFmtId="167" fontId="7" fillId="0" borderId="0" xfId="0" applyNumberFormat="1" applyFont="1" applyAlignment="1">
      <alignment horizontal="right"/>
    </xf>
    <xf numFmtId="3" fontId="0" fillId="0" borderId="0" xfId="0" applyNumberFormat="1"/>
    <xf numFmtId="164" fontId="0" fillId="0" borderId="0" xfId="0" applyNumberFormat="1"/>
    <xf numFmtId="167" fontId="9" fillId="0" borderId="0" xfId="0" applyNumberFormat="1" applyFont="1" applyAlignment="1">
      <alignment horizontal="right" vertical="center"/>
    </xf>
    <xf numFmtId="167" fontId="0" fillId="0" borderId="0" xfId="0" applyNumberFormat="1"/>
    <xf numFmtId="167" fontId="7" fillId="0" borderId="1" xfId="0" applyNumberFormat="1" applyFont="1" applyBorder="1" applyAlignment="1">
      <alignment horizontal="right" vertical="center"/>
    </xf>
    <xf numFmtId="49" fontId="9" fillId="0" borderId="0" xfId="0" quotePrefix="1" applyNumberFormat="1" applyFont="1" applyBorder="1"/>
    <xf numFmtId="167" fontId="9" fillId="0" borderId="0" xfId="0" quotePrefix="1" applyNumberFormat="1" applyFont="1" applyAlignment="1">
      <alignment horizontal="right" vertical="center"/>
    </xf>
    <xf numFmtId="167" fontId="7" fillId="0" borderId="0" xfId="0" applyNumberFormat="1" applyFont="1" applyBorder="1" applyAlignment="1">
      <alignment horizontal="right" vertical="center"/>
    </xf>
    <xf numFmtId="0" fontId="1" fillId="0" borderId="0" xfId="1"/>
    <xf numFmtId="0" fontId="7" fillId="0" borderId="0" xfId="1" applyFont="1" applyBorder="1" applyAlignment="1">
      <alignment horizontal="center" vertical="center" wrapText="1"/>
    </xf>
    <xf numFmtId="0" fontId="9" fillId="0" borderId="0" xfId="1" applyFont="1"/>
    <xf numFmtId="0" fontId="7" fillId="0" borderId="0" xfId="1" applyFont="1" applyBorder="1"/>
    <xf numFmtId="0" fontId="9" fillId="0" borderId="1" xfId="1" applyFont="1" applyBorder="1"/>
    <xf numFmtId="168" fontId="9" fillId="0" borderId="0" xfId="1" applyNumberFormat="1" applyFont="1" applyAlignment="1">
      <alignment horizontal="right" vertical="center"/>
    </xf>
    <xf numFmtId="167" fontId="1" fillId="0" borderId="0" xfId="1" applyNumberFormat="1"/>
    <xf numFmtId="164" fontId="1" fillId="0" borderId="0" xfId="1" applyNumberFormat="1"/>
    <xf numFmtId="0" fontId="7" fillId="0" borderId="1" xfId="1" applyFont="1" applyBorder="1"/>
    <xf numFmtId="168" fontId="7" fillId="0" borderId="1" xfId="1" applyNumberFormat="1" applyFont="1" applyBorder="1" applyAlignment="1">
      <alignment horizontal="right" vertical="center"/>
    </xf>
    <xf numFmtId="167" fontId="9" fillId="0" borderId="0" xfId="1" applyNumberFormat="1" applyFont="1"/>
    <xf numFmtId="0" fontId="7" fillId="0" borderId="0" xfId="1" applyFont="1" applyBorder="1" applyAlignment="1">
      <alignment horizontal="left"/>
    </xf>
    <xf numFmtId="0" fontId="9" fillId="0" borderId="0" xfId="1" applyFont="1" applyBorder="1" applyAlignment="1">
      <alignment horizontal="left"/>
    </xf>
    <xf numFmtId="0" fontId="9" fillId="0" borderId="0" xfId="1" applyFont="1" applyBorder="1"/>
    <xf numFmtId="0" fontId="3" fillId="0" borderId="0" xfId="1" applyFont="1" applyBorder="1"/>
    <xf numFmtId="49" fontId="9" fillId="0" borderId="0" xfId="1" quotePrefix="1" applyNumberFormat="1" applyFont="1" applyBorder="1"/>
    <xf numFmtId="49" fontId="9" fillId="0" borderId="0" xfId="1" applyNumberFormat="1" applyFont="1" applyBorder="1"/>
    <xf numFmtId="0" fontId="22" fillId="2" borderId="0" xfId="0" applyFont="1" applyFill="1" applyAlignment="1"/>
    <xf numFmtId="0" fontId="0" fillId="2" borderId="0" xfId="0" applyFill="1"/>
    <xf numFmtId="0" fontId="24" fillId="2" borderId="0" xfId="0" applyFont="1" applyFill="1" applyAlignment="1">
      <alignment horizontal="left" vertical="center"/>
    </xf>
    <xf numFmtId="0" fontId="25" fillId="2" borderId="0" xfId="0" applyFont="1" applyFill="1" applyAlignment="1">
      <alignment horizontal="center"/>
    </xf>
    <xf numFmtId="0" fontId="25" fillId="2" borderId="0" xfId="0" applyFont="1" applyFill="1" applyAlignment="1"/>
    <xf numFmtId="0" fontId="1" fillId="2" borderId="0" xfId="0" applyFont="1" applyFill="1" applyAlignment="1">
      <alignment horizontal="center"/>
    </xf>
    <xf numFmtId="0" fontId="1" fillId="2" borderId="0" xfId="0" applyFont="1" applyFill="1" applyAlignment="1"/>
    <xf numFmtId="0" fontId="1" fillId="2" borderId="0" xfId="0" applyFont="1" applyFill="1" applyAlignment="1">
      <alignment horizontal="left" wrapText="1"/>
    </xf>
    <xf numFmtId="0" fontId="26" fillId="2" borderId="0" xfId="0" applyFont="1" applyFill="1" applyAlignment="1">
      <alignment horizontal="left"/>
    </xf>
    <xf numFmtId="0" fontId="1" fillId="2" borderId="0" xfId="0" applyFont="1" applyFill="1" applyAlignment="1">
      <alignment horizontal="left"/>
    </xf>
    <xf numFmtId="0" fontId="1" fillId="2" borderId="0" xfId="0" applyFont="1" applyFill="1" applyAlignment="1">
      <alignment wrapText="1"/>
    </xf>
    <xf numFmtId="0" fontId="25" fillId="2" borderId="0" xfId="0" applyFont="1" applyFill="1" applyAlignment="1">
      <alignment horizontal="left" wrapText="1"/>
    </xf>
    <xf numFmtId="0" fontId="22" fillId="2" borderId="0" xfId="0" applyFont="1" applyFill="1" applyAlignment="1">
      <alignment horizontal="left" vertical="center"/>
    </xf>
    <xf numFmtId="0" fontId="27" fillId="2" borderId="0" xfId="0" applyFont="1" applyFill="1"/>
    <xf numFmtId="168" fontId="0" fillId="0" borderId="0" xfId="0" applyNumberFormat="1"/>
    <xf numFmtId="0" fontId="0" fillId="0" borderId="0" xfId="0" applyFill="1"/>
    <xf numFmtId="168" fontId="9" fillId="0" borderId="0" xfId="1" applyNumberFormat="1" applyFont="1" applyFill="1" applyAlignment="1">
      <alignment horizontal="right" vertical="center"/>
    </xf>
    <xf numFmtId="3" fontId="0" fillId="0" borderId="0" xfId="0" applyNumberFormat="1" applyFill="1"/>
    <xf numFmtId="0" fontId="7" fillId="0" borderId="0" xfId="1" applyFont="1" applyFill="1" applyBorder="1" applyAlignment="1">
      <alignment horizontal="center" vertical="center" wrapText="1"/>
    </xf>
    <xf numFmtId="0" fontId="7" fillId="0" borderId="0" xfId="1" applyFont="1" applyFill="1" applyBorder="1"/>
    <xf numFmtId="0" fontId="9" fillId="0" borderId="1" xfId="1" applyFont="1" applyFill="1" applyBorder="1"/>
    <xf numFmtId="168" fontId="7" fillId="0" borderId="1" xfId="1" applyNumberFormat="1" applyFont="1" applyFill="1" applyBorder="1" applyAlignment="1">
      <alignment horizontal="right" vertical="center"/>
    </xf>
    <xf numFmtId="168" fontId="10" fillId="0" borderId="0" xfId="1" applyNumberFormat="1" applyFont="1" applyAlignment="1">
      <alignment horizontal="right" vertical="center"/>
    </xf>
    <xf numFmtId="168" fontId="10" fillId="0" borderId="1" xfId="1" applyNumberFormat="1" applyFont="1" applyBorder="1" applyAlignment="1">
      <alignment horizontal="right" vertical="center"/>
    </xf>
    <xf numFmtId="168" fontId="10" fillId="0" borderId="0" xfId="1" applyNumberFormat="1" applyFont="1" applyBorder="1" applyAlignment="1">
      <alignment horizontal="right" vertical="center"/>
    </xf>
    <xf numFmtId="168" fontId="8" fillId="0" borderId="1" xfId="1" applyNumberFormat="1" applyFont="1" applyBorder="1" applyAlignment="1">
      <alignment horizontal="right" vertical="center"/>
    </xf>
    <xf numFmtId="0" fontId="9" fillId="0" borderId="0" xfId="1" applyFont="1" applyFill="1" applyBorder="1"/>
    <xf numFmtId="168" fontId="8" fillId="0" borderId="0" xfId="1" applyNumberFormat="1" applyFont="1" applyFill="1" applyBorder="1" applyAlignment="1">
      <alignment horizontal="right" vertical="center"/>
    </xf>
    <xf numFmtId="168" fontId="9" fillId="0" borderId="0" xfId="1" quotePrefix="1" applyNumberFormat="1" applyFont="1" applyAlignment="1">
      <alignment horizontal="right" vertical="center"/>
    </xf>
    <xf numFmtId="0" fontId="9" fillId="0" borderId="0" xfId="1" applyFont="1" applyFill="1"/>
    <xf numFmtId="168" fontId="9" fillId="0" borderId="0" xfId="1" applyNumberFormat="1" applyFont="1" applyFill="1" applyBorder="1" applyAlignment="1">
      <alignment horizontal="right" vertical="center"/>
    </xf>
    <xf numFmtId="168" fontId="0" fillId="0" borderId="0" xfId="0" applyNumberFormat="1" applyBorder="1"/>
    <xf numFmtId="168" fontId="7" fillId="0" borderId="0" xfId="1" applyNumberFormat="1" applyFont="1" applyBorder="1" applyAlignment="1">
      <alignment horizontal="right" vertical="center"/>
    </xf>
    <xf numFmtId="168" fontId="9" fillId="0" borderId="0" xfId="1" applyNumberFormat="1" applyFont="1" applyBorder="1" applyAlignment="1">
      <alignment horizontal="right" vertical="center"/>
    </xf>
    <xf numFmtId="0" fontId="7" fillId="0" borderId="1" xfId="1" applyFont="1" applyFill="1" applyBorder="1"/>
    <xf numFmtId="0" fontId="1" fillId="2" borderId="0" xfId="0" applyFont="1" applyFill="1" applyAlignment="1">
      <alignment horizontal="left" wrapText="1"/>
    </xf>
    <xf numFmtId="0" fontId="27" fillId="2" borderId="0" xfId="0" applyFont="1" applyFill="1" applyAlignment="1">
      <alignment horizontal="left" wrapText="1"/>
    </xf>
    <xf numFmtId="0" fontId="24" fillId="2" borderId="0" xfId="0" applyFont="1" applyFill="1" applyAlignment="1">
      <alignment horizontal="left" vertical="center"/>
    </xf>
    <xf numFmtId="0" fontId="25" fillId="2" borderId="0" xfId="0" applyFont="1" applyFill="1" applyAlignment="1">
      <alignment horizontal="left" wrapText="1"/>
    </xf>
    <xf numFmtId="0" fontId="23" fillId="2" borderId="0" xfId="0" applyFont="1" applyFill="1" applyAlignment="1">
      <alignment horizontal="center"/>
    </xf>
    <xf numFmtId="0" fontId="7" fillId="0" borderId="0" xfId="1" applyFont="1" applyFill="1" applyBorder="1" applyAlignment="1">
      <alignment horizontal="center" vertical="center"/>
    </xf>
    <xf numFmtId="2" fontId="7" fillId="0" borderId="0" xfId="1" applyNumberFormat="1" applyFont="1" applyBorder="1" applyAlignment="1">
      <alignment horizontal="left" vertical="center"/>
    </xf>
    <xf numFmtId="2" fontId="7" fillId="0" borderId="1" xfId="1" applyNumberFormat="1" applyFont="1" applyBorder="1" applyAlignment="1">
      <alignment horizontal="left" vertical="center"/>
    </xf>
    <xf numFmtId="0" fontId="7" fillId="0" borderId="0" xfId="1" applyFont="1" applyBorder="1" applyAlignment="1">
      <alignment horizontal="center" vertical="center"/>
    </xf>
    <xf numFmtId="0" fontId="7" fillId="0" borderId="0" xfId="1" applyFont="1" applyFill="1" applyBorder="1" applyAlignment="1">
      <alignment horizontal="center" vertical="center" wrapText="1"/>
    </xf>
    <xf numFmtId="0" fontId="1" fillId="0" borderId="0" xfId="1" applyFill="1" applyAlignment="1">
      <alignment horizontal="center" vertical="center" wrapText="1"/>
    </xf>
    <xf numFmtId="0" fontId="7" fillId="0" borderId="0" xfId="1" applyFont="1" applyBorder="1" applyAlignment="1">
      <alignment horizontal="center" vertical="center" wrapText="1"/>
    </xf>
    <xf numFmtId="0" fontId="1" fillId="0" borderId="0" xfId="1" applyAlignment="1">
      <alignment horizontal="center" vertical="center" wrapText="1"/>
    </xf>
    <xf numFmtId="0" fontId="7" fillId="0" borderId="0" xfId="0" applyFont="1" applyBorder="1" applyAlignment="1">
      <alignment horizontal="center" vertical="center"/>
    </xf>
    <xf numFmtId="2" fontId="7" fillId="0" borderId="0" xfId="0" applyNumberFormat="1" applyFont="1" applyBorder="1" applyAlignment="1">
      <alignment horizontal="left" vertical="center"/>
    </xf>
    <xf numFmtId="2" fontId="7" fillId="0" borderId="1" xfId="0" applyNumberFormat="1" applyFont="1" applyBorder="1" applyAlignment="1">
      <alignment horizontal="left" vertical="center"/>
    </xf>
    <xf numFmtId="0" fontId="7" fillId="0" borderId="0" xfId="0" applyFont="1" applyBorder="1" applyAlignment="1">
      <alignment horizontal="center" vertical="center" wrapText="1"/>
    </xf>
    <xf numFmtId="0" fontId="0" fillId="0" borderId="0" xfId="0" applyAlignment="1">
      <alignment horizontal="center" vertical="center" wrapText="1"/>
    </xf>
    <xf numFmtId="0" fontId="7" fillId="0" borderId="0" xfId="0" applyFont="1" applyBorder="1" applyAlignment="1">
      <alignment horizontal="left"/>
    </xf>
    <xf numFmtId="0" fontId="7" fillId="0" borderId="1" xfId="0" applyFont="1" applyBorder="1" applyAlignment="1">
      <alignment horizontal="left"/>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361950</xdr:colOff>
      <xdr:row>4</xdr:row>
      <xdr:rowOff>0</xdr:rowOff>
    </xdr:to>
    <xdr:pic>
      <xdr:nvPicPr>
        <xdr:cNvPr id="15407" name="Picture 1" descr="SNZ Logo 2005 Small">
          <a:extLst>
            <a:ext uri="{FF2B5EF4-FFF2-40B4-BE49-F238E27FC236}">
              <a16:creationId xmlns:a16="http://schemas.microsoft.com/office/drawing/2014/main" id="{00000000-0008-0000-0000-00002F3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478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48</xdr:row>
      <xdr:rowOff>0</xdr:rowOff>
    </xdr:from>
    <xdr:to>
      <xdr:col>13</xdr:col>
      <xdr:colOff>438150</xdr:colOff>
      <xdr:row>48</xdr:row>
      <xdr:rowOff>0</xdr:rowOff>
    </xdr:to>
    <xdr:sp macro="" textlink="">
      <xdr:nvSpPr>
        <xdr:cNvPr id="4103" name="Text Box 7">
          <a:extLst>
            <a:ext uri="{FF2B5EF4-FFF2-40B4-BE49-F238E27FC236}">
              <a16:creationId xmlns:a16="http://schemas.microsoft.com/office/drawing/2014/main" id="{00000000-0008-0000-0F00-000007100000}"/>
            </a:ext>
          </a:extLst>
        </xdr:cNvPr>
        <xdr:cNvSpPr txBox="1">
          <a:spLocks noChangeArrowheads="1"/>
        </xdr:cNvSpPr>
      </xdr:nvSpPr>
      <xdr:spPr bwMode="auto">
        <a:xfrm>
          <a:off x="0" y="7124700"/>
          <a:ext cx="9182100"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en-NZ" sz="800" b="1" i="0" strike="noStrike">
              <a:solidFill>
                <a:srgbClr val="000000"/>
              </a:solidFill>
              <a:latin typeface="Times New Roman"/>
              <a:cs typeface="Times New Roman"/>
            </a:rPr>
            <a:t>Note</a:t>
          </a:r>
          <a:endParaRPr lang="en-NZ" sz="800" b="0" i="0" strike="noStrike">
            <a:solidFill>
              <a:srgbClr val="000000"/>
            </a:solidFill>
            <a:latin typeface="Times New Roman"/>
            <a:cs typeface="Times New Roman"/>
          </a:endParaRPr>
        </a:p>
        <a:p>
          <a:pPr algn="l" rtl="0">
            <a:defRPr sz="1000"/>
          </a:pPr>
          <a:r>
            <a:rPr lang="en-NZ" sz="800" b="0" i="0" strike="noStrike">
              <a:solidFill>
                <a:srgbClr val="000000"/>
              </a:solidFill>
              <a:latin typeface="Times New Roman"/>
              <a:cs typeface="Times New Roman"/>
            </a:rPr>
            <a:t>1. This table includes all those countries from which New Zealand has imported NZ$1 million or more of forestry products during the year.</a:t>
          </a:r>
        </a:p>
        <a:p>
          <a:pPr algn="l" rtl="0">
            <a:defRPr sz="1000"/>
          </a:pPr>
          <a:r>
            <a:rPr lang="en-NZ" sz="800" b="0" i="0" strike="noStrike">
              <a:solidFill>
                <a:srgbClr val="000000"/>
              </a:solidFill>
              <a:latin typeface="Times New Roman"/>
              <a:cs typeface="Times New Roman"/>
            </a:rPr>
            <a:t>2. </a:t>
          </a:r>
          <a:r>
            <a:rPr lang="en-NZ" sz="800" b="1" i="0" strike="noStrike">
              <a:solidFill>
                <a:srgbClr val="000000"/>
              </a:solidFill>
              <a:latin typeface="Times New Roman"/>
              <a:cs typeface="Times New Roman"/>
            </a:rPr>
            <a:t>Values</a:t>
          </a:r>
          <a:r>
            <a:rPr lang="en-NZ" sz="800" b="0" i="0" strike="noStrike">
              <a:solidFill>
                <a:srgbClr val="000000"/>
              </a:solidFill>
              <a:latin typeface="Times New Roman"/>
              <a:cs typeface="Times New Roman"/>
            </a:rPr>
            <a:t> are NZ$ c.i.f. (cost, insurance and freight) and may include items for which no quantities are given.  </a:t>
          </a:r>
        </a:p>
        <a:p>
          <a:pPr algn="l" rtl="0">
            <a:defRPr sz="1000"/>
          </a:pPr>
          <a:r>
            <a:rPr lang="en-NZ" sz="800" b="0" i="0" strike="noStrike">
              <a:solidFill>
                <a:srgbClr val="000000"/>
              </a:solidFill>
              <a:latin typeface="Times New Roman"/>
              <a:cs typeface="Times New Roman"/>
            </a:rPr>
            <a:t>3. m</a:t>
          </a:r>
          <a:r>
            <a:rPr lang="en-NZ" sz="800" b="0" i="0" strike="noStrike" baseline="30000">
              <a:solidFill>
                <a:srgbClr val="000000"/>
              </a:solidFill>
              <a:latin typeface="Times New Roman"/>
              <a:cs typeface="Times New Roman"/>
            </a:rPr>
            <a:t>3</a:t>
          </a:r>
          <a:r>
            <a:rPr lang="en-NZ" sz="800" b="0" i="0" strike="noStrike">
              <a:solidFill>
                <a:srgbClr val="000000"/>
              </a:solidFill>
              <a:latin typeface="Times New Roman"/>
              <a:cs typeface="Times New Roman"/>
            </a:rPr>
            <a:t>(r): cubic metres of roundwood; m</a:t>
          </a:r>
          <a:r>
            <a:rPr lang="en-NZ" sz="800" b="0" i="0" strike="noStrike" baseline="30000">
              <a:solidFill>
                <a:srgbClr val="000000"/>
              </a:solidFill>
              <a:latin typeface="Times New Roman"/>
              <a:cs typeface="Times New Roman"/>
            </a:rPr>
            <a:t>3</a:t>
          </a:r>
          <a:r>
            <a:rPr lang="en-NZ" sz="800" b="0" i="0" strike="noStrike">
              <a:solidFill>
                <a:srgbClr val="000000"/>
              </a:solidFill>
              <a:latin typeface="Times New Roman"/>
              <a:cs typeface="Times New Roman"/>
            </a:rPr>
            <a:t>(s): cubic metres of sawn timber.</a:t>
          </a:r>
        </a:p>
        <a:p>
          <a:pPr algn="l" rtl="0">
            <a:defRPr sz="1000"/>
          </a:pPr>
          <a:r>
            <a:rPr lang="en-NZ" sz="800" b="0" i="0" strike="noStrike">
              <a:solidFill>
                <a:srgbClr val="000000"/>
              </a:solidFill>
              <a:latin typeface="Times New Roman"/>
              <a:cs typeface="Times New Roman"/>
            </a:rPr>
            <a:t>4.  </a:t>
          </a:r>
          <a:r>
            <a:rPr lang="en-NZ" sz="800" b="1" i="0" strike="noStrike">
              <a:solidFill>
                <a:srgbClr val="000000"/>
              </a:solidFill>
              <a:latin typeface="Times New Roman"/>
              <a:cs typeface="Times New Roman"/>
            </a:rPr>
            <a:t>Panel products</a:t>
          </a:r>
          <a:r>
            <a:rPr lang="en-NZ" sz="800" b="0" i="0" strike="noStrike">
              <a:solidFill>
                <a:srgbClr val="000000"/>
              </a:solidFill>
              <a:latin typeface="Times New Roman"/>
              <a:cs typeface="Times New Roman"/>
            </a:rPr>
            <a:t> is the total of fibreboard, plywood, veneer and particleboard as shown in Table 1.</a:t>
          </a:r>
        </a:p>
        <a:p>
          <a:pPr algn="l" rtl="0">
            <a:defRPr sz="1000"/>
          </a:pPr>
          <a:r>
            <a:rPr lang="en-NZ" sz="800" b="0" i="0" strike="noStrike">
              <a:solidFill>
                <a:srgbClr val="000000"/>
              </a:solidFill>
              <a:latin typeface="Times New Roman"/>
              <a:cs typeface="Times New Roman"/>
            </a:rPr>
            <a:t>5. </a:t>
          </a:r>
          <a:r>
            <a:rPr lang="en-NZ" sz="800" b="1" i="0" strike="noStrike">
              <a:solidFill>
                <a:srgbClr val="000000"/>
              </a:solidFill>
              <a:latin typeface="Times New Roman"/>
              <a:cs typeface="Times New Roman"/>
            </a:rPr>
            <a:t>All other forestry products</a:t>
          </a:r>
          <a:r>
            <a:rPr lang="en-NZ" sz="800" b="0" i="0" strike="noStrike">
              <a:solidFill>
                <a:srgbClr val="000000"/>
              </a:solidFill>
              <a:latin typeface="Times New Roman"/>
              <a:cs typeface="Times New Roman"/>
            </a:rPr>
            <a:t> includes manufactures of paper and paperboard and miscellaneous forestry products as in Table 1.</a:t>
          </a:r>
        </a:p>
        <a:p>
          <a:pPr algn="l" rtl="0">
            <a:defRPr sz="1000"/>
          </a:pPr>
          <a:r>
            <a:rPr lang="en-NZ" sz="800" b="0" i="0" strike="noStrike">
              <a:solidFill>
                <a:srgbClr val="000000"/>
              </a:solidFill>
              <a:latin typeface="Times New Roman"/>
              <a:cs typeface="Times New Roman"/>
            </a:rPr>
            <a:t>6. </a:t>
          </a:r>
          <a:r>
            <a:rPr lang="en-NZ" sz="800" b="1" i="0" strike="noStrike">
              <a:solidFill>
                <a:srgbClr val="000000"/>
              </a:solidFill>
              <a:latin typeface="Times New Roman"/>
              <a:cs typeface="Times New Roman"/>
            </a:rPr>
            <a:t>Others</a:t>
          </a:r>
          <a:r>
            <a:rPr lang="en-NZ" sz="800" b="0" i="0" strike="noStrike">
              <a:solidFill>
                <a:srgbClr val="000000"/>
              </a:solidFill>
              <a:latin typeface="Times New Roman"/>
              <a:cs typeface="Times New Roman"/>
            </a:rPr>
            <a:t> are all other countries from which New Zealand has imported forestry products in the year.</a:t>
          </a:r>
        </a:p>
        <a:p>
          <a:pPr algn="l" rtl="0">
            <a:defRPr sz="1000"/>
          </a:pPr>
          <a:r>
            <a:rPr lang="en-NZ" sz="800" b="0" i="0" strike="noStrike">
              <a:solidFill>
                <a:srgbClr val="000000"/>
              </a:solidFill>
              <a:latin typeface="Times New Roman"/>
              <a:cs typeface="Times New Roman"/>
            </a:rPr>
            <a:t>7. Statistics for specific countries and forestry products are available on request to the Forestry Statistics Section, Policy Information Group, Ministry of Agriculture and Forestry, Wellington, New Zealand.</a:t>
          </a:r>
        </a:p>
        <a:p>
          <a:pPr algn="l" rtl="0">
            <a:defRPr sz="1000"/>
          </a:pPr>
          <a:r>
            <a:rPr lang="en-NZ" sz="800" b="0" i="0" strike="noStrike">
              <a:solidFill>
                <a:srgbClr val="000000"/>
              </a:solidFill>
              <a:latin typeface="Times New Roman"/>
              <a:cs typeface="Times New Roman"/>
            </a:rPr>
            <a:t>8. This table updates Table E17 of New Zealand Forestry Statistics 2000, Ministry of Agriculture and Forestry (Wellington, 2001)</a:t>
          </a:r>
        </a:p>
        <a:p>
          <a:pPr algn="l" rtl="0">
            <a:defRPr sz="1000"/>
          </a:pPr>
          <a:endParaRPr lang="en-NZ" sz="800" b="1" i="0" strike="noStrike">
            <a:solidFill>
              <a:srgbClr val="000000"/>
            </a:solidFill>
            <a:latin typeface="Times New Roman"/>
            <a:cs typeface="Times New Roman"/>
          </a:endParaRPr>
        </a:p>
        <a:p>
          <a:pPr algn="l" rtl="0">
            <a:defRPr sz="1000"/>
          </a:pPr>
          <a:r>
            <a:rPr lang="en-NZ" sz="800" b="1" i="0" strike="noStrike">
              <a:solidFill>
                <a:srgbClr val="000000"/>
              </a:solidFill>
              <a:latin typeface="Times New Roman"/>
              <a:cs typeface="Times New Roman"/>
            </a:rPr>
            <a:t>Symbol</a:t>
          </a:r>
          <a:endParaRPr lang="en-NZ" sz="800" b="0" i="0" strike="noStrike">
            <a:solidFill>
              <a:srgbClr val="000000"/>
            </a:solidFill>
            <a:latin typeface="Times New Roman"/>
            <a:cs typeface="Times New Roman"/>
          </a:endParaRPr>
        </a:p>
        <a:p>
          <a:pPr algn="l" rtl="0">
            <a:defRPr sz="1000"/>
          </a:pPr>
          <a:r>
            <a:rPr lang="en-NZ" sz="800" b="0" i="0" strike="noStrike">
              <a:solidFill>
                <a:srgbClr val="000000"/>
              </a:solidFill>
              <a:latin typeface="Times New Roman"/>
              <a:cs typeface="Times New Roman"/>
            </a:rPr>
            <a:t>-   Nil   </a:t>
          </a:r>
          <a:endParaRPr lang="en-NZ" sz="800" b="0" i="0" strike="noStrike">
            <a:solidFill>
              <a:srgbClr val="000000"/>
            </a:solidFill>
            <a:latin typeface="Book Antiqua"/>
          </a:endParaRPr>
        </a:p>
        <a:p>
          <a:pPr algn="l" rtl="0">
            <a:defRPr sz="1000"/>
          </a:pPr>
          <a:endParaRPr lang="en-NZ" sz="800" b="0" i="0" strike="noStrike">
            <a:solidFill>
              <a:srgbClr val="000000"/>
            </a:solidFill>
            <a:latin typeface="Book Antiqu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45</xdr:row>
      <xdr:rowOff>0</xdr:rowOff>
    </xdr:from>
    <xdr:to>
      <xdr:col>13</xdr:col>
      <xdr:colOff>438150</xdr:colOff>
      <xdr:row>45</xdr:row>
      <xdr:rowOff>0</xdr:rowOff>
    </xdr:to>
    <xdr:sp macro="" textlink="">
      <xdr:nvSpPr>
        <xdr:cNvPr id="5126" name="Text Box 6">
          <a:extLst>
            <a:ext uri="{FF2B5EF4-FFF2-40B4-BE49-F238E27FC236}">
              <a16:creationId xmlns:a16="http://schemas.microsoft.com/office/drawing/2014/main" id="{00000000-0008-0000-1000-000006140000}"/>
            </a:ext>
          </a:extLst>
        </xdr:cNvPr>
        <xdr:cNvSpPr txBox="1">
          <a:spLocks noChangeArrowheads="1"/>
        </xdr:cNvSpPr>
      </xdr:nvSpPr>
      <xdr:spPr bwMode="auto">
        <a:xfrm>
          <a:off x="0" y="6696075"/>
          <a:ext cx="9182100"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en-NZ" sz="800" b="1" i="0" strike="noStrike">
              <a:solidFill>
                <a:srgbClr val="000000"/>
              </a:solidFill>
              <a:latin typeface="Times New Roman"/>
              <a:cs typeface="Times New Roman"/>
            </a:rPr>
            <a:t>Note</a:t>
          </a:r>
          <a:endParaRPr lang="en-NZ" sz="800" b="0" i="0" strike="noStrike">
            <a:solidFill>
              <a:srgbClr val="000000"/>
            </a:solidFill>
            <a:latin typeface="Times New Roman"/>
            <a:cs typeface="Times New Roman"/>
          </a:endParaRPr>
        </a:p>
        <a:p>
          <a:pPr algn="l" rtl="0">
            <a:defRPr sz="1000"/>
          </a:pPr>
          <a:r>
            <a:rPr lang="en-NZ" sz="800" b="0" i="0" strike="noStrike">
              <a:solidFill>
                <a:srgbClr val="000000"/>
              </a:solidFill>
              <a:latin typeface="Times New Roman"/>
              <a:cs typeface="Times New Roman"/>
            </a:rPr>
            <a:t>1. This table includes all those countries from which New Zealand has imported NZ$1 million or more of forestry products during the year.</a:t>
          </a:r>
        </a:p>
        <a:p>
          <a:pPr algn="l" rtl="0">
            <a:defRPr sz="1000"/>
          </a:pPr>
          <a:r>
            <a:rPr lang="en-NZ" sz="800" b="0" i="0" strike="noStrike">
              <a:solidFill>
                <a:srgbClr val="000000"/>
              </a:solidFill>
              <a:latin typeface="Times New Roman"/>
              <a:cs typeface="Times New Roman"/>
            </a:rPr>
            <a:t>2. </a:t>
          </a:r>
          <a:r>
            <a:rPr lang="en-NZ" sz="800" b="1" i="0" strike="noStrike">
              <a:solidFill>
                <a:srgbClr val="000000"/>
              </a:solidFill>
              <a:latin typeface="Times New Roman"/>
              <a:cs typeface="Times New Roman"/>
            </a:rPr>
            <a:t>Values</a:t>
          </a:r>
          <a:r>
            <a:rPr lang="en-NZ" sz="800" b="0" i="0" strike="noStrike">
              <a:solidFill>
                <a:srgbClr val="000000"/>
              </a:solidFill>
              <a:latin typeface="Times New Roman"/>
              <a:cs typeface="Times New Roman"/>
            </a:rPr>
            <a:t> are NZ$ c.i.f. (cost, insurance and freight) and may include items for which no quantities are given.  </a:t>
          </a:r>
        </a:p>
        <a:p>
          <a:pPr algn="l" rtl="0">
            <a:defRPr sz="1000"/>
          </a:pPr>
          <a:r>
            <a:rPr lang="en-NZ" sz="800" b="0" i="0" strike="noStrike">
              <a:solidFill>
                <a:srgbClr val="000000"/>
              </a:solidFill>
              <a:latin typeface="Times New Roman"/>
              <a:cs typeface="Times New Roman"/>
            </a:rPr>
            <a:t>3. m</a:t>
          </a:r>
          <a:r>
            <a:rPr lang="en-NZ" sz="800" b="0" i="0" strike="noStrike" baseline="30000">
              <a:solidFill>
                <a:srgbClr val="000000"/>
              </a:solidFill>
              <a:latin typeface="Times New Roman"/>
              <a:cs typeface="Times New Roman"/>
            </a:rPr>
            <a:t>3</a:t>
          </a:r>
          <a:r>
            <a:rPr lang="en-NZ" sz="800" b="0" i="0" strike="noStrike">
              <a:solidFill>
                <a:srgbClr val="000000"/>
              </a:solidFill>
              <a:latin typeface="Times New Roman"/>
              <a:cs typeface="Times New Roman"/>
            </a:rPr>
            <a:t>(r): cubic metres of roundwood; m</a:t>
          </a:r>
          <a:r>
            <a:rPr lang="en-NZ" sz="800" b="0" i="0" strike="noStrike" baseline="30000">
              <a:solidFill>
                <a:srgbClr val="000000"/>
              </a:solidFill>
              <a:latin typeface="Times New Roman"/>
              <a:cs typeface="Times New Roman"/>
            </a:rPr>
            <a:t>3</a:t>
          </a:r>
          <a:r>
            <a:rPr lang="en-NZ" sz="800" b="0" i="0" strike="noStrike">
              <a:solidFill>
                <a:srgbClr val="000000"/>
              </a:solidFill>
              <a:latin typeface="Times New Roman"/>
              <a:cs typeface="Times New Roman"/>
            </a:rPr>
            <a:t>(s): cubic metres of sawn timber.</a:t>
          </a:r>
        </a:p>
        <a:p>
          <a:pPr algn="l" rtl="0">
            <a:defRPr sz="1000"/>
          </a:pPr>
          <a:r>
            <a:rPr lang="en-NZ" sz="800" b="0" i="0" strike="noStrike">
              <a:solidFill>
                <a:srgbClr val="000000"/>
              </a:solidFill>
              <a:latin typeface="Times New Roman"/>
              <a:cs typeface="Times New Roman"/>
            </a:rPr>
            <a:t>4.  </a:t>
          </a:r>
          <a:r>
            <a:rPr lang="en-NZ" sz="800" b="1" i="0" strike="noStrike">
              <a:solidFill>
                <a:srgbClr val="000000"/>
              </a:solidFill>
              <a:latin typeface="Times New Roman"/>
              <a:cs typeface="Times New Roman"/>
            </a:rPr>
            <a:t>Panel products</a:t>
          </a:r>
          <a:r>
            <a:rPr lang="en-NZ" sz="800" b="0" i="0" strike="noStrike">
              <a:solidFill>
                <a:srgbClr val="000000"/>
              </a:solidFill>
              <a:latin typeface="Times New Roman"/>
              <a:cs typeface="Times New Roman"/>
            </a:rPr>
            <a:t> is the total of fibreboard, plywood, veneer and particleboard as shown in Table 1.</a:t>
          </a:r>
        </a:p>
        <a:p>
          <a:pPr algn="l" rtl="0">
            <a:defRPr sz="1000"/>
          </a:pPr>
          <a:r>
            <a:rPr lang="en-NZ" sz="800" b="0" i="0" strike="noStrike">
              <a:solidFill>
                <a:srgbClr val="000000"/>
              </a:solidFill>
              <a:latin typeface="Times New Roman"/>
              <a:cs typeface="Times New Roman"/>
            </a:rPr>
            <a:t>5. </a:t>
          </a:r>
          <a:r>
            <a:rPr lang="en-NZ" sz="800" b="1" i="0" strike="noStrike">
              <a:solidFill>
                <a:srgbClr val="000000"/>
              </a:solidFill>
              <a:latin typeface="Times New Roman"/>
              <a:cs typeface="Times New Roman"/>
            </a:rPr>
            <a:t>All other forestry products</a:t>
          </a:r>
          <a:r>
            <a:rPr lang="en-NZ" sz="800" b="0" i="0" strike="noStrike">
              <a:solidFill>
                <a:srgbClr val="000000"/>
              </a:solidFill>
              <a:latin typeface="Times New Roman"/>
              <a:cs typeface="Times New Roman"/>
            </a:rPr>
            <a:t> includes manufactures of paper and paperboard and miscellaneous forestry products as in Table 1.</a:t>
          </a:r>
        </a:p>
        <a:p>
          <a:pPr algn="l" rtl="0">
            <a:defRPr sz="1000"/>
          </a:pPr>
          <a:r>
            <a:rPr lang="en-NZ" sz="800" b="0" i="0" strike="noStrike">
              <a:solidFill>
                <a:srgbClr val="000000"/>
              </a:solidFill>
              <a:latin typeface="Times New Roman"/>
              <a:cs typeface="Times New Roman"/>
            </a:rPr>
            <a:t>6. </a:t>
          </a:r>
          <a:r>
            <a:rPr lang="en-NZ" sz="800" b="1" i="0" strike="noStrike">
              <a:solidFill>
                <a:srgbClr val="000000"/>
              </a:solidFill>
              <a:latin typeface="Times New Roman"/>
              <a:cs typeface="Times New Roman"/>
            </a:rPr>
            <a:t>Others</a:t>
          </a:r>
          <a:r>
            <a:rPr lang="en-NZ" sz="800" b="0" i="0" strike="noStrike">
              <a:solidFill>
                <a:srgbClr val="000000"/>
              </a:solidFill>
              <a:latin typeface="Times New Roman"/>
              <a:cs typeface="Times New Roman"/>
            </a:rPr>
            <a:t> are all other countries from which New Zealand has imported forestry products in the year.</a:t>
          </a:r>
        </a:p>
        <a:p>
          <a:pPr algn="l" rtl="0">
            <a:defRPr sz="1000"/>
          </a:pPr>
          <a:r>
            <a:rPr lang="en-NZ" sz="800" b="0" i="0" strike="noStrike">
              <a:solidFill>
                <a:srgbClr val="000000"/>
              </a:solidFill>
              <a:latin typeface="Times New Roman"/>
              <a:cs typeface="Times New Roman"/>
            </a:rPr>
            <a:t>7. Statistics for specific countries and forestry products are available on request to the Forestry Statistics Section, Policy Information Group, Ministry of Agriculture and Forestry, Wellington, New Zealand.</a:t>
          </a:r>
        </a:p>
        <a:p>
          <a:pPr algn="l" rtl="0">
            <a:defRPr sz="1000"/>
          </a:pPr>
          <a:r>
            <a:rPr lang="en-NZ" sz="800" b="0" i="0" strike="noStrike">
              <a:solidFill>
                <a:srgbClr val="000000"/>
              </a:solidFill>
              <a:latin typeface="Times New Roman"/>
              <a:cs typeface="Times New Roman"/>
            </a:rPr>
            <a:t>8. This table updates Table E17 of New Zealand Forestry Statistics 2000, Ministry of Agriculture and Forestry (Wellington, 2001)</a:t>
          </a:r>
        </a:p>
        <a:p>
          <a:pPr algn="l" rtl="0">
            <a:defRPr sz="1000"/>
          </a:pPr>
          <a:endParaRPr lang="en-NZ" sz="800" b="0" i="0" strike="noStrike">
            <a:solidFill>
              <a:srgbClr val="000000"/>
            </a:solidFill>
            <a:latin typeface="Times New Roman"/>
            <a:cs typeface="Times New Roman"/>
          </a:endParaRPr>
        </a:p>
        <a:p>
          <a:pPr algn="l" rtl="0">
            <a:defRPr sz="1000"/>
          </a:pPr>
          <a:r>
            <a:rPr lang="en-NZ" sz="800" b="1" i="0" strike="noStrike">
              <a:solidFill>
                <a:srgbClr val="000000"/>
              </a:solidFill>
              <a:latin typeface="Times New Roman"/>
              <a:cs typeface="Times New Roman"/>
            </a:rPr>
            <a:t>Symbol</a:t>
          </a:r>
          <a:endParaRPr lang="en-NZ" sz="800" b="0" i="0" strike="noStrike">
            <a:solidFill>
              <a:srgbClr val="000000"/>
            </a:solidFill>
            <a:latin typeface="Times New Roman"/>
            <a:cs typeface="Times New Roman"/>
          </a:endParaRPr>
        </a:p>
        <a:p>
          <a:pPr algn="l" rtl="0">
            <a:defRPr sz="1000"/>
          </a:pPr>
          <a:r>
            <a:rPr lang="en-NZ" sz="800" b="0" i="0" strike="noStrike">
              <a:solidFill>
                <a:srgbClr val="000000"/>
              </a:solidFill>
              <a:latin typeface="Times New Roman"/>
              <a:cs typeface="Times New Roman"/>
            </a:rPr>
            <a:t>-   Nil   </a:t>
          </a:r>
        </a:p>
        <a:p>
          <a:pPr algn="l" rtl="0">
            <a:defRPr sz="1000"/>
          </a:pPr>
          <a:endParaRPr lang="en-NZ" sz="800" b="0" i="0" strike="noStrike">
            <a:solidFill>
              <a:srgbClr val="000000"/>
            </a:solidFill>
            <a:latin typeface="Times New Roman"/>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42</xdr:row>
      <xdr:rowOff>0</xdr:rowOff>
    </xdr:from>
    <xdr:to>
      <xdr:col>13</xdr:col>
      <xdr:colOff>438150</xdr:colOff>
      <xdr:row>42</xdr:row>
      <xdr:rowOff>0</xdr:rowOff>
    </xdr:to>
    <xdr:sp macro="" textlink="">
      <xdr:nvSpPr>
        <xdr:cNvPr id="6149" name="Text Box 5">
          <a:extLst>
            <a:ext uri="{FF2B5EF4-FFF2-40B4-BE49-F238E27FC236}">
              <a16:creationId xmlns:a16="http://schemas.microsoft.com/office/drawing/2014/main" id="{00000000-0008-0000-1100-000005180000}"/>
            </a:ext>
          </a:extLst>
        </xdr:cNvPr>
        <xdr:cNvSpPr txBox="1">
          <a:spLocks noChangeArrowheads="1"/>
        </xdr:cNvSpPr>
      </xdr:nvSpPr>
      <xdr:spPr bwMode="auto">
        <a:xfrm>
          <a:off x="0" y="6267450"/>
          <a:ext cx="9182100"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en-NZ" sz="800" b="1" i="0" strike="noStrike">
              <a:solidFill>
                <a:srgbClr val="000000"/>
              </a:solidFill>
              <a:latin typeface="Times New Roman"/>
              <a:cs typeface="Times New Roman"/>
            </a:rPr>
            <a:t>Note</a:t>
          </a:r>
          <a:endParaRPr lang="en-NZ" sz="800" b="0" i="0" strike="noStrike">
            <a:solidFill>
              <a:srgbClr val="000000"/>
            </a:solidFill>
            <a:latin typeface="Times New Roman"/>
            <a:cs typeface="Times New Roman"/>
          </a:endParaRPr>
        </a:p>
        <a:p>
          <a:pPr algn="l" rtl="0">
            <a:defRPr sz="1000"/>
          </a:pPr>
          <a:r>
            <a:rPr lang="en-NZ" sz="800" b="0" i="0" strike="noStrike">
              <a:solidFill>
                <a:srgbClr val="000000"/>
              </a:solidFill>
              <a:latin typeface="Times New Roman"/>
              <a:cs typeface="Times New Roman"/>
            </a:rPr>
            <a:t>1. This table includes all those countries from which New Zealand has imported NZ$1 million or more of forestry products during the year.</a:t>
          </a:r>
        </a:p>
        <a:p>
          <a:pPr algn="l" rtl="0">
            <a:defRPr sz="1000"/>
          </a:pPr>
          <a:r>
            <a:rPr lang="en-NZ" sz="800" b="0" i="0" strike="noStrike">
              <a:solidFill>
                <a:srgbClr val="000000"/>
              </a:solidFill>
              <a:latin typeface="Times New Roman"/>
              <a:cs typeface="Times New Roman"/>
            </a:rPr>
            <a:t>2. </a:t>
          </a:r>
          <a:r>
            <a:rPr lang="en-NZ" sz="800" b="1" i="0" strike="noStrike">
              <a:solidFill>
                <a:srgbClr val="000000"/>
              </a:solidFill>
              <a:latin typeface="Times New Roman"/>
              <a:cs typeface="Times New Roman"/>
            </a:rPr>
            <a:t>Values</a:t>
          </a:r>
          <a:r>
            <a:rPr lang="en-NZ" sz="800" b="0" i="0" strike="noStrike">
              <a:solidFill>
                <a:srgbClr val="000000"/>
              </a:solidFill>
              <a:latin typeface="Times New Roman"/>
              <a:cs typeface="Times New Roman"/>
            </a:rPr>
            <a:t> are NZ$ c.i.f. (cost, insurance and freight) and may include items for which no quantities are given.  </a:t>
          </a:r>
        </a:p>
        <a:p>
          <a:pPr algn="l" rtl="0">
            <a:defRPr sz="1000"/>
          </a:pPr>
          <a:r>
            <a:rPr lang="en-NZ" sz="800" b="0" i="0" strike="noStrike">
              <a:solidFill>
                <a:srgbClr val="000000"/>
              </a:solidFill>
              <a:latin typeface="Times New Roman"/>
              <a:cs typeface="Times New Roman"/>
            </a:rPr>
            <a:t>3. m</a:t>
          </a:r>
          <a:r>
            <a:rPr lang="en-NZ" sz="800" b="0" i="0" strike="noStrike" baseline="30000">
              <a:solidFill>
                <a:srgbClr val="000000"/>
              </a:solidFill>
              <a:latin typeface="Times New Roman"/>
              <a:cs typeface="Times New Roman"/>
            </a:rPr>
            <a:t>3</a:t>
          </a:r>
          <a:r>
            <a:rPr lang="en-NZ" sz="800" b="0" i="0" strike="noStrike">
              <a:solidFill>
                <a:srgbClr val="000000"/>
              </a:solidFill>
              <a:latin typeface="Times New Roman"/>
              <a:cs typeface="Times New Roman"/>
            </a:rPr>
            <a:t>(r): cubic metres of roundwood; m</a:t>
          </a:r>
          <a:r>
            <a:rPr lang="en-NZ" sz="800" b="0" i="0" strike="noStrike" baseline="30000">
              <a:solidFill>
                <a:srgbClr val="000000"/>
              </a:solidFill>
              <a:latin typeface="Times New Roman"/>
              <a:cs typeface="Times New Roman"/>
            </a:rPr>
            <a:t>3</a:t>
          </a:r>
          <a:r>
            <a:rPr lang="en-NZ" sz="800" b="0" i="0" strike="noStrike">
              <a:solidFill>
                <a:srgbClr val="000000"/>
              </a:solidFill>
              <a:latin typeface="Times New Roman"/>
              <a:cs typeface="Times New Roman"/>
            </a:rPr>
            <a:t>(s): cubic metres of sawn timber.</a:t>
          </a:r>
        </a:p>
        <a:p>
          <a:pPr algn="l" rtl="0">
            <a:defRPr sz="1000"/>
          </a:pPr>
          <a:r>
            <a:rPr lang="en-NZ" sz="800" b="0" i="0" strike="noStrike">
              <a:solidFill>
                <a:srgbClr val="000000"/>
              </a:solidFill>
              <a:latin typeface="Times New Roman"/>
              <a:cs typeface="Times New Roman"/>
            </a:rPr>
            <a:t>4.  </a:t>
          </a:r>
          <a:r>
            <a:rPr lang="en-NZ" sz="800" b="1" i="0" strike="noStrike">
              <a:solidFill>
                <a:srgbClr val="000000"/>
              </a:solidFill>
              <a:latin typeface="Times New Roman"/>
              <a:cs typeface="Times New Roman"/>
            </a:rPr>
            <a:t>Panel products</a:t>
          </a:r>
          <a:r>
            <a:rPr lang="en-NZ" sz="800" b="0" i="0" strike="noStrike">
              <a:solidFill>
                <a:srgbClr val="000000"/>
              </a:solidFill>
              <a:latin typeface="Times New Roman"/>
              <a:cs typeface="Times New Roman"/>
            </a:rPr>
            <a:t> is the total of fibreboard, plywood, veneer and particleboard as shown in Table 1.</a:t>
          </a:r>
        </a:p>
        <a:p>
          <a:pPr algn="l" rtl="0">
            <a:defRPr sz="1000"/>
          </a:pPr>
          <a:r>
            <a:rPr lang="en-NZ" sz="800" b="0" i="0" strike="noStrike">
              <a:solidFill>
                <a:srgbClr val="000000"/>
              </a:solidFill>
              <a:latin typeface="Times New Roman"/>
              <a:cs typeface="Times New Roman"/>
            </a:rPr>
            <a:t>5. </a:t>
          </a:r>
          <a:r>
            <a:rPr lang="en-NZ" sz="800" b="1" i="0" strike="noStrike">
              <a:solidFill>
                <a:srgbClr val="000000"/>
              </a:solidFill>
              <a:latin typeface="Times New Roman"/>
              <a:cs typeface="Times New Roman"/>
            </a:rPr>
            <a:t>All other forestry products</a:t>
          </a:r>
          <a:r>
            <a:rPr lang="en-NZ" sz="800" b="0" i="0" strike="noStrike">
              <a:solidFill>
                <a:srgbClr val="000000"/>
              </a:solidFill>
              <a:latin typeface="Times New Roman"/>
              <a:cs typeface="Times New Roman"/>
            </a:rPr>
            <a:t> includes manufactures of paper and paperboard and miscellaneous forestry products as in Table 1.</a:t>
          </a:r>
        </a:p>
        <a:p>
          <a:pPr algn="l" rtl="0">
            <a:defRPr sz="1000"/>
          </a:pPr>
          <a:r>
            <a:rPr lang="en-NZ" sz="800" b="0" i="0" strike="noStrike">
              <a:solidFill>
                <a:srgbClr val="000000"/>
              </a:solidFill>
              <a:latin typeface="Times New Roman"/>
              <a:cs typeface="Times New Roman"/>
            </a:rPr>
            <a:t>6. </a:t>
          </a:r>
          <a:r>
            <a:rPr lang="en-NZ" sz="800" b="1" i="0" strike="noStrike">
              <a:solidFill>
                <a:srgbClr val="000000"/>
              </a:solidFill>
              <a:latin typeface="Times New Roman"/>
              <a:cs typeface="Times New Roman"/>
            </a:rPr>
            <a:t>Others</a:t>
          </a:r>
          <a:r>
            <a:rPr lang="en-NZ" sz="800" b="0" i="0" strike="noStrike">
              <a:solidFill>
                <a:srgbClr val="000000"/>
              </a:solidFill>
              <a:latin typeface="Times New Roman"/>
              <a:cs typeface="Times New Roman"/>
            </a:rPr>
            <a:t> are all other countries from which New Zealand has imported forestry products in the year.</a:t>
          </a:r>
        </a:p>
        <a:p>
          <a:pPr algn="l" rtl="0">
            <a:defRPr sz="1000"/>
          </a:pPr>
          <a:r>
            <a:rPr lang="en-NZ" sz="800" b="0" i="0" strike="noStrike">
              <a:solidFill>
                <a:srgbClr val="000000"/>
              </a:solidFill>
              <a:latin typeface="Times New Roman"/>
              <a:cs typeface="Times New Roman"/>
            </a:rPr>
            <a:t>7. Statistics for specific countries and forestry products are available on request to the Forestry Statistics Section, Policy Information Group, Ministry of Agriculture and Forestry, Wellington, New Zealand.</a:t>
          </a:r>
        </a:p>
        <a:p>
          <a:pPr algn="l" rtl="0">
            <a:defRPr sz="1000"/>
          </a:pPr>
          <a:r>
            <a:rPr lang="en-NZ" sz="800" b="0" i="0" strike="noStrike">
              <a:solidFill>
                <a:srgbClr val="000000"/>
              </a:solidFill>
              <a:latin typeface="Times New Roman"/>
              <a:cs typeface="Times New Roman"/>
            </a:rPr>
            <a:t>8. This table updates Table E17 of New Zealand Forestry Statistics 2000, Ministry of Agriculture and Forestry (Wellington, 2001)</a:t>
          </a:r>
        </a:p>
        <a:p>
          <a:pPr algn="l" rtl="0">
            <a:defRPr sz="1000"/>
          </a:pPr>
          <a:endParaRPr lang="en-NZ" sz="800" b="0" i="0" strike="noStrike">
            <a:solidFill>
              <a:srgbClr val="000000"/>
            </a:solidFill>
            <a:latin typeface="Times New Roman"/>
            <a:cs typeface="Times New Roman"/>
          </a:endParaRPr>
        </a:p>
        <a:p>
          <a:pPr algn="l" rtl="0">
            <a:defRPr sz="1000"/>
          </a:pPr>
          <a:r>
            <a:rPr lang="en-NZ" sz="800" b="1" i="0" strike="noStrike">
              <a:solidFill>
                <a:srgbClr val="000000"/>
              </a:solidFill>
              <a:latin typeface="Times New Roman"/>
              <a:cs typeface="Times New Roman"/>
            </a:rPr>
            <a:t>Symbol</a:t>
          </a:r>
          <a:endParaRPr lang="en-NZ" sz="800" b="0" i="0" strike="noStrike">
            <a:solidFill>
              <a:srgbClr val="000000"/>
            </a:solidFill>
            <a:latin typeface="Times New Roman"/>
            <a:cs typeface="Times New Roman"/>
          </a:endParaRPr>
        </a:p>
        <a:p>
          <a:pPr algn="l" rtl="0">
            <a:defRPr sz="1000"/>
          </a:pPr>
          <a:r>
            <a:rPr lang="en-NZ" sz="800" b="0" i="0" strike="noStrike">
              <a:solidFill>
                <a:srgbClr val="000000"/>
              </a:solidFill>
              <a:latin typeface="Times New Roman"/>
              <a:cs typeface="Times New Roman"/>
            </a:rPr>
            <a:t>-   Nil   </a:t>
          </a:r>
          <a:endParaRPr lang="en-NZ" sz="800" b="0" i="0" strike="noStrike">
            <a:solidFill>
              <a:srgbClr val="000000"/>
            </a:solidFill>
            <a:latin typeface="Book Antiqua"/>
          </a:endParaRPr>
        </a:p>
        <a:p>
          <a:pPr algn="l" rtl="0">
            <a:defRPr sz="1000"/>
          </a:pPr>
          <a:endParaRPr lang="en-NZ" sz="800" b="0" i="0" strike="noStrike">
            <a:solidFill>
              <a:srgbClr val="000000"/>
            </a:solidFill>
            <a:latin typeface="Book Antiqu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41</xdr:row>
      <xdr:rowOff>0</xdr:rowOff>
    </xdr:from>
    <xdr:to>
      <xdr:col>13</xdr:col>
      <xdr:colOff>438150</xdr:colOff>
      <xdr:row>41</xdr:row>
      <xdr:rowOff>0</xdr:rowOff>
    </xdr:to>
    <xdr:sp macro="" textlink="">
      <xdr:nvSpPr>
        <xdr:cNvPr id="7173" name="Text Box 5">
          <a:extLst>
            <a:ext uri="{FF2B5EF4-FFF2-40B4-BE49-F238E27FC236}">
              <a16:creationId xmlns:a16="http://schemas.microsoft.com/office/drawing/2014/main" id="{00000000-0008-0000-1200-0000051C0000}"/>
            </a:ext>
          </a:extLst>
        </xdr:cNvPr>
        <xdr:cNvSpPr txBox="1">
          <a:spLocks noChangeArrowheads="1"/>
        </xdr:cNvSpPr>
      </xdr:nvSpPr>
      <xdr:spPr bwMode="auto">
        <a:xfrm>
          <a:off x="0" y="6124575"/>
          <a:ext cx="9182100"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en-NZ" sz="800" b="1" i="0" strike="noStrike">
              <a:solidFill>
                <a:srgbClr val="000000"/>
              </a:solidFill>
              <a:latin typeface="Times New Roman"/>
              <a:cs typeface="Times New Roman"/>
            </a:rPr>
            <a:t>Note</a:t>
          </a:r>
          <a:endParaRPr lang="en-NZ" sz="800" b="0" i="0" strike="noStrike">
            <a:solidFill>
              <a:srgbClr val="000000"/>
            </a:solidFill>
            <a:latin typeface="Times New Roman"/>
            <a:cs typeface="Times New Roman"/>
          </a:endParaRPr>
        </a:p>
        <a:p>
          <a:pPr algn="l" rtl="0">
            <a:defRPr sz="1000"/>
          </a:pPr>
          <a:r>
            <a:rPr lang="en-NZ" sz="800" b="0" i="0" strike="noStrike">
              <a:solidFill>
                <a:srgbClr val="000000"/>
              </a:solidFill>
              <a:latin typeface="Times New Roman"/>
              <a:cs typeface="Times New Roman"/>
            </a:rPr>
            <a:t>1. This table includes all those countries from which New Zealand has imported NZ$1 million or more of forestry products during the year.</a:t>
          </a:r>
        </a:p>
        <a:p>
          <a:pPr algn="l" rtl="0">
            <a:defRPr sz="1000"/>
          </a:pPr>
          <a:r>
            <a:rPr lang="en-NZ" sz="800" b="0" i="0" strike="noStrike">
              <a:solidFill>
                <a:srgbClr val="000000"/>
              </a:solidFill>
              <a:latin typeface="Times New Roman"/>
              <a:cs typeface="Times New Roman"/>
            </a:rPr>
            <a:t>2. </a:t>
          </a:r>
          <a:r>
            <a:rPr lang="en-NZ" sz="800" b="1" i="0" strike="noStrike">
              <a:solidFill>
                <a:srgbClr val="000000"/>
              </a:solidFill>
              <a:latin typeface="Times New Roman"/>
              <a:cs typeface="Times New Roman"/>
            </a:rPr>
            <a:t>Values</a:t>
          </a:r>
          <a:r>
            <a:rPr lang="en-NZ" sz="800" b="0" i="0" strike="noStrike">
              <a:solidFill>
                <a:srgbClr val="000000"/>
              </a:solidFill>
              <a:latin typeface="Times New Roman"/>
              <a:cs typeface="Times New Roman"/>
            </a:rPr>
            <a:t> are NZ$ c.i.f. (cost, insurance and freight) and may include items for which no quantities are given.  </a:t>
          </a:r>
        </a:p>
        <a:p>
          <a:pPr algn="l" rtl="0">
            <a:defRPr sz="1000"/>
          </a:pPr>
          <a:r>
            <a:rPr lang="en-NZ" sz="800" b="0" i="0" strike="noStrike">
              <a:solidFill>
                <a:srgbClr val="000000"/>
              </a:solidFill>
              <a:latin typeface="Times New Roman"/>
              <a:cs typeface="Times New Roman"/>
            </a:rPr>
            <a:t>3. m</a:t>
          </a:r>
          <a:r>
            <a:rPr lang="en-NZ" sz="800" b="0" i="0" strike="noStrike" baseline="30000">
              <a:solidFill>
                <a:srgbClr val="000000"/>
              </a:solidFill>
              <a:latin typeface="Times New Roman"/>
              <a:cs typeface="Times New Roman"/>
            </a:rPr>
            <a:t>3</a:t>
          </a:r>
          <a:r>
            <a:rPr lang="en-NZ" sz="800" b="0" i="0" strike="noStrike">
              <a:solidFill>
                <a:srgbClr val="000000"/>
              </a:solidFill>
              <a:latin typeface="Times New Roman"/>
              <a:cs typeface="Times New Roman"/>
            </a:rPr>
            <a:t>(r): cubic metres of roundwood; m</a:t>
          </a:r>
          <a:r>
            <a:rPr lang="en-NZ" sz="800" b="0" i="0" strike="noStrike" baseline="30000">
              <a:solidFill>
                <a:srgbClr val="000000"/>
              </a:solidFill>
              <a:latin typeface="Times New Roman"/>
              <a:cs typeface="Times New Roman"/>
            </a:rPr>
            <a:t>3</a:t>
          </a:r>
          <a:r>
            <a:rPr lang="en-NZ" sz="800" b="0" i="0" strike="noStrike">
              <a:solidFill>
                <a:srgbClr val="000000"/>
              </a:solidFill>
              <a:latin typeface="Times New Roman"/>
              <a:cs typeface="Times New Roman"/>
            </a:rPr>
            <a:t>(s): cubic metres of sawn timber.</a:t>
          </a:r>
        </a:p>
        <a:p>
          <a:pPr algn="l" rtl="0">
            <a:defRPr sz="1000"/>
          </a:pPr>
          <a:r>
            <a:rPr lang="en-NZ" sz="800" b="0" i="0" strike="noStrike">
              <a:solidFill>
                <a:srgbClr val="000000"/>
              </a:solidFill>
              <a:latin typeface="Times New Roman"/>
              <a:cs typeface="Times New Roman"/>
            </a:rPr>
            <a:t>4.  </a:t>
          </a:r>
          <a:r>
            <a:rPr lang="en-NZ" sz="800" b="1" i="0" strike="noStrike">
              <a:solidFill>
                <a:srgbClr val="000000"/>
              </a:solidFill>
              <a:latin typeface="Times New Roman"/>
              <a:cs typeface="Times New Roman"/>
            </a:rPr>
            <a:t>Panel products</a:t>
          </a:r>
          <a:r>
            <a:rPr lang="en-NZ" sz="800" b="0" i="0" strike="noStrike">
              <a:solidFill>
                <a:srgbClr val="000000"/>
              </a:solidFill>
              <a:latin typeface="Times New Roman"/>
              <a:cs typeface="Times New Roman"/>
            </a:rPr>
            <a:t> is the total of fibreboard, plywood, veneer and particleboard as shown in Table 1.</a:t>
          </a:r>
        </a:p>
        <a:p>
          <a:pPr algn="l" rtl="0">
            <a:defRPr sz="1000"/>
          </a:pPr>
          <a:r>
            <a:rPr lang="en-NZ" sz="800" b="0" i="0" strike="noStrike">
              <a:solidFill>
                <a:srgbClr val="000000"/>
              </a:solidFill>
              <a:latin typeface="Times New Roman"/>
              <a:cs typeface="Times New Roman"/>
            </a:rPr>
            <a:t>5. </a:t>
          </a:r>
          <a:r>
            <a:rPr lang="en-NZ" sz="800" b="1" i="0" strike="noStrike">
              <a:solidFill>
                <a:srgbClr val="000000"/>
              </a:solidFill>
              <a:latin typeface="Times New Roman"/>
              <a:cs typeface="Times New Roman"/>
            </a:rPr>
            <a:t>All other forestry products</a:t>
          </a:r>
          <a:r>
            <a:rPr lang="en-NZ" sz="800" b="0" i="0" strike="noStrike">
              <a:solidFill>
                <a:srgbClr val="000000"/>
              </a:solidFill>
              <a:latin typeface="Times New Roman"/>
              <a:cs typeface="Times New Roman"/>
            </a:rPr>
            <a:t> includes manufactures of paper and paperboard and miscellaneous forestry products as in Table 1.</a:t>
          </a:r>
        </a:p>
        <a:p>
          <a:pPr algn="l" rtl="0">
            <a:defRPr sz="1000"/>
          </a:pPr>
          <a:r>
            <a:rPr lang="en-NZ" sz="800" b="0" i="0" strike="noStrike">
              <a:solidFill>
                <a:srgbClr val="000000"/>
              </a:solidFill>
              <a:latin typeface="Times New Roman"/>
              <a:cs typeface="Times New Roman"/>
            </a:rPr>
            <a:t>6. </a:t>
          </a:r>
          <a:r>
            <a:rPr lang="en-NZ" sz="800" b="1" i="0" strike="noStrike">
              <a:solidFill>
                <a:srgbClr val="000000"/>
              </a:solidFill>
              <a:latin typeface="Times New Roman"/>
              <a:cs typeface="Times New Roman"/>
            </a:rPr>
            <a:t>Others</a:t>
          </a:r>
          <a:r>
            <a:rPr lang="en-NZ" sz="800" b="0" i="0" strike="noStrike">
              <a:solidFill>
                <a:srgbClr val="000000"/>
              </a:solidFill>
              <a:latin typeface="Times New Roman"/>
              <a:cs typeface="Times New Roman"/>
            </a:rPr>
            <a:t> are all other countries from which New Zealand has imported forestry products in the year.</a:t>
          </a:r>
        </a:p>
        <a:p>
          <a:pPr algn="l" rtl="0">
            <a:defRPr sz="1000"/>
          </a:pPr>
          <a:r>
            <a:rPr lang="en-NZ" sz="800" b="0" i="0" strike="noStrike">
              <a:solidFill>
                <a:srgbClr val="000000"/>
              </a:solidFill>
              <a:latin typeface="Times New Roman"/>
              <a:cs typeface="Times New Roman"/>
            </a:rPr>
            <a:t>7. Statistics for specific countries and forestry products are available on request to the Forestry Statistics Section, Policy Information Group, Ministry of Agriculture and Forestry, Wellington, New Zealand.</a:t>
          </a:r>
        </a:p>
        <a:p>
          <a:pPr algn="l" rtl="0">
            <a:defRPr sz="1000"/>
          </a:pPr>
          <a:r>
            <a:rPr lang="en-NZ" sz="800" b="0" i="0" strike="noStrike">
              <a:solidFill>
                <a:srgbClr val="000000"/>
              </a:solidFill>
              <a:latin typeface="Times New Roman"/>
              <a:cs typeface="Times New Roman"/>
            </a:rPr>
            <a:t>8. This table updates Table E17 of New Zealand Forestry Statistics 2000, Ministry of Agriculture and Forestry (Wellington, 2001)</a:t>
          </a:r>
        </a:p>
        <a:p>
          <a:pPr algn="l" rtl="0">
            <a:defRPr sz="1000"/>
          </a:pPr>
          <a:endParaRPr lang="en-NZ" sz="800" b="0" i="0" strike="noStrike">
            <a:solidFill>
              <a:srgbClr val="000000"/>
            </a:solidFill>
            <a:latin typeface="Times New Roman"/>
            <a:cs typeface="Times New Roman"/>
          </a:endParaRPr>
        </a:p>
        <a:p>
          <a:pPr algn="l" rtl="0">
            <a:defRPr sz="1000"/>
          </a:pPr>
          <a:r>
            <a:rPr lang="en-NZ" sz="800" b="1" i="0" strike="noStrike">
              <a:solidFill>
                <a:srgbClr val="000000"/>
              </a:solidFill>
              <a:latin typeface="Times New Roman"/>
              <a:cs typeface="Times New Roman"/>
            </a:rPr>
            <a:t>Symbol</a:t>
          </a:r>
          <a:endParaRPr lang="en-NZ" sz="800" b="0" i="0" strike="noStrike">
            <a:solidFill>
              <a:srgbClr val="000000"/>
            </a:solidFill>
            <a:latin typeface="Times New Roman"/>
            <a:cs typeface="Times New Roman"/>
          </a:endParaRPr>
        </a:p>
        <a:p>
          <a:pPr algn="l" rtl="0">
            <a:defRPr sz="1000"/>
          </a:pPr>
          <a:r>
            <a:rPr lang="en-NZ" sz="800" b="0" i="0" strike="noStrike">
              <a:solidFill>
                <a:srgbClr val="000000"/>
              </a:solidFill>
              <a:latin typeface="Times New Roman"/>
              <a:cs typeface="Times New Roman"/>
            </a:rPr>
            <a:t>-   Nil</a:t>
          </a:r>
          <a:r>
            <a:rPr lang="en-NZ" sz="800" b="0" i="0" strike="noStrike">
              <a:solidFill>
                <a:srgbClr val="000000"/>
              </a:solidFill>
              <a:latin typeface="Book Antiqua"/>
            </a:rPr>
            <a:t>   </a:t>
          </a:r>
        </a:p>
        <a:p>
          <a:pPr algn="l" rtl="0">
            <a:defRPr sz="1000"/>
          </a:pPr>
          <a:endParaRPr lang="en-NZ" sz="800" b="0" i="0" strike="noStrike">
            <a:solidFill>
              <a:srgbClr val="000000"/>
            </a:solidFill>
            <a:latin typeface="Book Antiqu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42</xdr:row>
      <xdr:rowOff>0</xdr:rowOff>
    </xdr:from>
    <xdr:to>
      <xdr:col>13</xdr:col>
      <xdr:colOff>419100</xdr:colOff>
      <xdr:row>42</xdr:row>
      <xdr:rowOff>0</xdr:rowOff>
    </xdr:to>
    <xdr:sp macro="" textlink="">
      <xdr:nvSpPr>
        <xdr:cNvPr id="8196" name="Text Box 4">
          <a:extLst>
            <a:ext uri="{FF2B5EF4-FFF2-40B4-BE49-F238E27FC236}">
              <a16:creationId xmlns:a16="http://schemas.microsoft.com/office/drawing/2014/main" id="{00000000-0008-0000-1300-000004200000}"/>
            </a:ext>
          </a:extLst>
        </xdr:cNvPr>
        <xdr:cNvSpPr txBox="1">
          <a:spLocks noChangeArrowheads="1"/>
        </xdr:cNvSpPr>
      </xdr:nvSpPr>
      <xdr:spPr bwMode="auto">
        <a:xfrm>
          <a:off x="0" y="6267450"/>
          <a:ext cx="9163050"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en-NZ" sz="800" b="1" i="0" strike="noStrike">
              <a:solidFill>
                <a:srgbClr val="000000"/>
              </a:solidFill>
              <a:latin typeface="Times New Roman"/>
              <a:cs typeface="Times New Roman"/>
            </a:rPr>
            <a:t>Note</a:t>
          </a:r>
          <a:endParaRPr lang="en-NZ" sz="800" b="0" i="0" strike="noStrike">
            <a:solidFill>
              <a:srgbClr val="000000"/>
            </a:solidFill>
            <a:latin typeface="Times New Roman"/>
            <a:cs typeface="Times New Roman"/>
          </a:endParaRPr>
        </a:p>
        <a:p>
          <a:pPr algn="l" rtl="0">
            <a:defRPr sz="1000"/>
          </a:pPr>
          <a:r>
            <a:rPr lang="en-NZ" sz="800" b="0" i="0" strike="noStrike">
              <a:solidFill>
                <a:srgbClr val="000000"/>
              </a:solidFill>
              <a:latin typeface="Times New Roman"/>
              <a:cs typeface="Times New Roman"/>
            </a:rPr>
            <a:t>1. This table includes all those countries from which New Zealand has imported NZ$1 million or more of forestry products during the year.</a:t>
          </a:r>
        </a:p>
        <a:p>
          <a:pPr algn="l" rtl="0">
            <a:defRPr sz="1000"/>
          </a:pPr>
          <a:r>
            <a:rPr lang="en-NZ" sz="800" b="0" i="0" strike="noStrike">
              <a:solidFill>
                <a:srgbClr val="000000"/>
              </a:solidFill>
              <a:latin typeface="Times New Roman"/>
              <a:cs typeface="Times New Roman"/>
            </a:rPr>
            <a:t>2. </a:t>
          </a:r>
          <a:r>
            <a:rPr lang="en-NZ" sz="800" b="1" i="0" strike="noStrike">
              <a:solidFill>
                <a:srgbClr val="000000"/>
              </a:solidFill>
              <a:latin typeface="Times New Roman"/>
              <a:cs typeface="Times New Roman"/>
            </a:rPr>
            <a:t>Values</a:t>
          </a:r>
          <a:r>
            <a:rPr lang="en-NZ" sz="800" b="0" i="0" strike="noStrike">
              <a:solidFill>
                <a:srgbClr val="000000"/>
              </a:solidFill>
              <a:latin typeface="Times New Roman"/>
              <a:cs typeface="Times New Roman"/>
            </a:rPr>
            <a:t> are NZ$ c.i.f. (cost, insurance and freight) and may include items for which no quantities are given.       Figures have been rounded discrepancies may occur between sums of component items and totals.   </a:t>
          </a:r>
        </a:p>
        <a:p>
          <a:pPr algn="l" rtl="0">
            <a:defRPr sz="1000"/>
          </a:pPr>
          <a:r>
            <a:rPr lang="en-NZ" sz="800" b="0" i="0" strike="noStrike">
              <a:solidFill>
                <a:srgbClr val="000000"/>
              </a:solidFill>
              <a:latin typeface="Times New Roman"/>
              <a:cs typeface="Times New Roman"/>
            </a:rPr>
            <a:t>3.  </a:t>
          </a:r>
          <a:r>
            <a:rPr lang="en-NZ" sz="800" b="1" i="0" strike="noStrike">
              <a:solidFill>
                <a:srgbClr val="000000"/>
              </a:solidFill>
              <a:latin typeface="Times New Roman"/>
              <a:cs typeface="Times New Roman"/>
            </a:rPr>
            <a:t>Panel products</a:t>
          </a:r>
          <a:r>
            <a:rPr lang="en-NZ" sz="800" b="0" i="0" strike="noStrike">
              <a:solidFill>
                <a:srgbClr val="000000"/>
              </a:solidFill>
              <a:latin typeface="Times New Roman"/>
              <a:cs typeface="Times New Roman"/>
            </a:rPr>
            <a:t> is the total of fibreboard, plywood, veneer and particleboard as shown in Table 1.</a:t>
          </a:r>
        </a:p>
        <a:p>
          <a:pPr algn="l" rtl="0">
            <a:defRPr sz="1000"/>
          </a:pPr>
          <a:r>
            <a:rPr lang="en-NZ" sz="800" b="0" i="0" strike="noStrike">
              <a:solidFill>
                <a:srgbClr val="000000"/>
              </a:solidFill>
              <a:latin typeface="Times New Roman"/>
              <a:cs typeface="Times New Roman"/>
            </a:rPr>
            <a:t>4. </a:t>
          </a:r>
          <a:r>
            <a:rPr lang="en-NZ" sz="800" b="1" i="0" strike="noStrike">
              <a:solidFill>
                <a:srgbClr val="000000"/>
              </a:solidFill>
              <a:latin typeface="Times New Roman"/>
              <a:cs typeface="Times New Roman"/>
            </a:rPr>
            <a:t>All other forestry products</a:t>
          </a:r>
          <a:r>
            <a:rPr lang="en-NZ" sz="800" b="0" i="0" strike="noStrike">
              <a:solidFill>
                <a:srgbClr val="000000"/>
              </a:solidFill>
              <a:latin typeface="Times New Roman"/>
              <a:cs typeface="Times New Roman"/>
            </a:rPr>
            <a:t> includes manufactures of paper and paperboard and miscellaneous forestry products as in Table 1.</a:t>
          </a:r>
        </a:p>
        <a:p>
          <a:pPr algn="l" rtl="0">
            <a:defRPr sz="1000"/>
          </a:pPr>
          <a:r>
            <a:rPr lang="en-NZ" sz="800" b="0" i="0" strike="noStrike">
              <a:solidFill>
                <a:srgbClr val="000000"/>
              </a:solidFill>
              <a:latin typeface="Times New Roman"/>
              <a:cs typeface="Times New Roman"/>
            </a:rPr>
            <a:t>5. </a:t>
          </a:r>
          <a:r>
            <a:rPr lang="en-NZ" sz="800" b="1" i="0" strike="noStrike">
              <a:solidFill>
                <a:srgbClr val="000000"/>
              </a:solidFill>
              <a:latin typeface="Times New Roman"/>
              <a:cs typeface="Times New Roman"/>
            </a:rPr>
            <a:t>Others</a:t>
          </a:r>
          <a:r>
            <a:rPr lang="en-NZ" sz="800" b="0" i="0" strike="noStrike">
              <a:solidFill>
                <a:srgbClr val="000000"/>
              </a:solidFill>
              <a:latin typeface="Times New Roman"/>
              <a:cs typeface="Times New Roman"/>
            </a:rPr>
            <a:t> are all other countries from which New Zealand has imported forestry products in the year.</a:t>
          </a:r>
        </a:p>
        <a:p>
          <a:pPr algn="l" rtl="0">
            <a:defRPr sz="1000"/>
          </a:pPr>
          <a:r>
            <a:rPr lang="en-NZ" sz="800" b="0" i="0" strike="noStrike">
              <a:solidFill>
                <a:srgbClr val="000000"/>
              </a:solidFill>
              <a:latin typeface="Times New Roman"/>
              <a:cs typeface="Times New Roman"/>
            </a:rPr>
            <a:t>6. Statistics for specific countries and forestry products are available on request to the Forestry Statistics Section, Policy Information Group, Ministry of Agriculture and Forestry, Wellington, New Zealand.</a:t>
          </a:r>
        </a:p>
        <a:p>
          <a:pPr algn="l" rtl="0">
            <a:defRPr sz="1000"/>
          </a:pPr>
          <a:r>
            <a:rPr lang="en-NZ" sz="800" b="0" i="0" strike="noStrike">
              <a:solidFill>
                <a:srgbClr val="000000"/>
              </a:solidFill>
              <a:latin typeface="Times New Roman"/>
              <a:cs typeface="Times New Roman"/>
            </a:rPr>
            <a:t>7. This table updates Table E17 of </a:t>
          </a:r>
          <a:r>
            <a:rPr lang="en-NZ" sz="800" b="1" i="0" strike="noStrike">
              <a:solidFill>
                <a:srgbClr val="000000"/>
              </a:solidFill>
              <a:latin typeface="Times New Roman"/>
              <a:cs typeface="Times New Roman"/>
            </a:rPr>
            <a:t>New Zealand Forestry Statistics 1997,</a:t>
          </a:r>
          <a:r>
            <a:rPr lang="en-NZ" sz="800" b="0" i="0" strike="noStrike">
              <a:solidFill>
                <a:srgbClr val="000000"/>
              </a:solidFill>
              <a:latin typeface="Times New Roman"/>
              <a:cs typeface="Times New Roman"/>
            </a:rPr>
            <a:t> Ministry of Agriculture and Forestry (Wellington, 1998).</a:t>
          </a:r>
        </a:p>
        <a:p>
          <a:pPr algn="l" rtl="0">
            <a:defRPr sz="1000"/>
          </a:pPr>
          <a:endParaRPr lang="en-NZ" sz="800" b="0" i="0" strike="noStrike">
            <a:solidFill>
              <a:srgbClr val="000000"/>
            </a:solidFill>
            <a:latin typeface="Times New Roman"/>
            <a:cs typeface="Times New Roman"/>
          </a:endParaRPr>
        </a:p>
        <a:p>
          <a:pPr algn="l" rtl="0">
            <a:defRPr sz="1000"/>
          </a:pPr>
          <a:r>
            <a:rPr lang="en-NZ" sz="800" b="1" i="0" strike="noStrike">
              <a:solidFill>
                <a:srgbClr val="000000"/>
              </a:solidFill>
              <a:latin typeface="Times New Roman"/>
              <a:cs typeface="Times New Roman"/>
            </a:rPr>
            <a:t>Symbol</a:t>
          </a:r>
          <a:endParaRPr lang="en-NZ" sz="800" b="0" i="0" strike="noStrike">
            <a:solidFill>
              <a:srgbClr val="000000"/>
            </a:solidFill>
            <a:latin typeface="Times New Roman"/>
            <a:cs typeface="Times New Roman"/>
          </a:endParaRPr>
        </a:p>
        <a:p>
          <a:pPr algn="l" rtl="0">
            <a:defRPr sz="1000"/>
          </a:pPr>
          <a:r>
            <a:rPr lang="en-NZ" sz="800" b="0" i="0" strike="noStrike">
              <a:solidFill>
                <a:srgbClr val="000000"/>
              </a:solidFill>
              <a:latin typeface="Times New Roman"/>
              <a:cs typeface="Times New Roman"/>
            </a:rPr>
            <a:t>-   Nil</a:t>
          </a:r>
          <a:endParaRPr lang="en-NZ" sz="800" b="0" i="0" strike="noStrike">
            <a:solidFill>
              <a:srgbClr val="000000"/>
            </a:solidFill>
            <a:latin typeface="Book Antiqua"/>
          </a:endParaRPr>
        </a:p>
        <a:p>
          <a:pPr algn="l" rtl="0">
            <a:defRPr sz="1000"/>
          </a:pPr>
          <a:endParaRPr lang="en-NZ" sz="800" b="0" i="0" strike="noStrike">
            <a:solidFill>
              <a:srgbClr val="000000"/>
            </a:solidFill>
            <a:latin typeface="Book Antiqu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37</xdr:row>
      <xdr:rowOff>0</xdr:rowOff>
    </xdr:from>
    <xdr:to>
      <xdr:col>12</xdr:col>
      <xdr:colOff>438150</xdr:colOff>
      <xdr:row>37</xdr:row>
      <xdr:rowOff>0</xdr:rowOff>
    </xdr:to>
    <xdr:sp macro="" textlink="">
      <xdr:nvSpPr>
        <xdr:cNvPr id="9219" name="Text Box 3">
          <a:extLst>
            <a:ext uri="{FF2B5EF4-FFF2-40B4-BE49-F238E27FC236}">
              <a16:creationId xmlns:a16="http://schemas.microsoft.com/office/drawing/2014/main" id="{00000000-0008-0000-1400-000003240000}"/>
            </a:ext>
          </a:extLst>
        </xdr:cNvPr>
        <xdr:cNvSpPr txBox="1">
          <a:spLocks noChangeArrowheads="1"/>
        </xdr:cNvSpPr>
      </xdr:nvSpPr>
      <xdr:spPr bwMode="auto">
        <a:xfrm>
          <a:off x="0" y="5553075"/>
          <a:ext cx="8362950"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en-NZ" sz="800" b="1" i="0" strike="noStrike">
              <a:solidFill>
                <a:srgbClr val="000000"/>
              </a:solidFill>
              <a:latin typeface="Times New Roman"/>
              <a:cs typeface="Times New Roman"/>
            </a:rPr>
            <a:t>Note</a:t>
          </a:r>
          <a:endParaRPr lang="en-NZ" sz="800" b="0" i="0" strike="noStrike">
            <a:solidFill>
              <a:srgbClr val="000000"/>
            </a:solidFill>
            <a:latin typeface="Times New Roman"/>
            <a:cs typeface="Times New Roman"/>
          </a:endParaRPr>
        </a:p>
        <a:p>
          <a:pPr algn="l" rtl="0">
            <a:defRPr sz="1000"/>
          </a:pPr>
          <a:r>
            <a:rPr lang="en-NZ" sz="800" b="0" i="0" strike="noStrike">
              <a:solidFill>
                <a:srgbClr val="000000"/>
              </a:solidFill>
              <a:latin typeface="Times New Roman"/>
              <a:cs typeface="Times New Roman"/>
            </a:rPr>
            <a:t>1. This table includes all those countries from which New Zealand has imported NZ$1 million or more of forestry products during the year.</a:t>
          </a:r>
        </a:p>
        <a:p>
          <a:pPr algn="l" rtl="0">
            <a:defRPr sz="1000"/>
          </a:pPr>
          <a:r>
            <a:rPr lang="en-NZ" sz="800" b="0" i="0" strike="noStrike">
              <a:solidFill>
                <a:srgbClr val="000000"/>
              </a:solidFill>
              <a:latin typeface="Times New Roman"/>
              <a:cs typeface="Times New Roman"/>
            </a:rPr>
            <a:t>2. </a:t>
          </a:r>
          <a:r>
            <a:rPr lang="en-NZ" sz="800" b="1" i="0" strike="noStrike">
              <a:solidFill>
                <a:srgbClr val="000000"/>
              </a:solidFill>
              <a:latin typeface="Times New Roman"/>
              <a:cs typeface="Times New Roman"/>
            </a:rPr>
            <a:t>Values</a:t>
          </a:r>
          <a:r>
            <a:rPr lang="en-NZ" sz="800" b="0" i="0" strike="noStrike">
              <a:solidFill>
                <a:srgbClr val="000000"/>
              </a:solidFill>
              <a:latin typeface="Times New Roman"/>
              <a:cs typeface="Times New Roman"/>
            </a:rPr>
            <a:t> are NZ$ c.i.f. (cost, insurance and freight) and may include items for which no quantities are given.</a:t>
          </a:r>
        </a:p>
        <a:p>
          <a:pPr algn="l" rtl="0">
            <a:defRPr sz="1000"/>
          </a:pPr>
          <a:r>
            <a:rPr lang="en-NZ" sz="800" b="0" i="0" strike="noStrike">
              <a:solidFill>
                <a:srgbClr val="000000"/>
              </a:solidFill>
              <a:latin typeface="Times New Roman"/>
              <a:cs typeface="Times New Roman"/>
            </a:rPr>
            <a:t>3.  </a:t>
          </a:r>
          <a:r>
            <a:rPr lang="en-NZ" sz="800" b="1" i="0" strike="noStrike">
              <a:solidFill>
                <a:srgbClr val="000000"/>
              </a:solidFill>
              <a:latin typeface="Times New Roman"/>
              <a:cs typeface="Times New Roman"/>
            </a:rPr>
            <a:t>Panel products</a:t>
          </a:r>
          <a:r>
            <a:rPr lang="en-NZ" sz="800" b="0" i="0" strike="noStrike">
              <a:solidFill>
                <a:srgbClr val="000000"/>
              </a:solidFill>
              <a:latin typeface="Times New Roman"/>
              <a:cs typeface="Times New Roman"/>
            </a:rPr>
            <a:t> is the total of fibreboard, plywood, veneer and particleboard as shown in Table 1.</a:t>
          </a:r>
        </a:p>
        <a:p>
          <a:pPr algn="l" rtl="0">
            <a:defRPr sz="1000"/>
          </a:pPr>
          <a:r>
            <a:rPr lang="en-NZ" sz="800" b="0" i="0" strike="noStrike">
              <a:solidFill>
                <a:srgbClr val="000000"/>
              </a:solidFill>
              <a:latin typeface="Times New Roman"/>
              <a:cs typeface="Times New Roman"/>
            </a:rPr>
            <a:t>4. </a:t>
          </a:r>
          <a:r>
            <a:rPr lang="en-NZ" sz="800" b="1" i="0" strike="noStrike">
              <a:solidFill>
                <a:srgbClr val="000000"/>
              </a:solidFill>
              <a:latin typeface="Times New Roman"/>
              <a:cs typeface="Times New Roman"/>
            </a:rPr>
            <a:t>All other forestry products</a:t>
          </a:r>
          <a:r>
            <a:rPr lang="en-NZ" sz="800" b="0" i="0" strike="noStrike">
              <a:solidFill>
                <a:srgbClr val="000000"/>
              </a:solidFill>
              <a:latin typeface="Times New Roman"/>
              <a:cs typeface="Times New Roman"/>
            </a:rPr>
            <a:t> includes manufactures of paper and paperboard, wooden furniture and furniture parts and miscellaneous forestry products as in Table 1.</a:t>
          </a:r>
        </a:p>
        <a:p>
          <a:pPr algn="l" rtl="0">
            <a:defRPr sz="1000"/>
          </a:pPr>
          <a:r>
            <a:rPr lang="en-NZ" sz="800" b="0" i="0" strike="noStrike">
              <a:solidFill>
                <a:srgbClr val="000000"/>
              </a:solidFill>
              <a:latin typeface="Times New Roman"/>
              <a:cs typeface="Times New Roman"/>
            </a:rPr>
            <a:t>5. </a:t>
          </a:r>
          <a:r>
            <a:rPr lang="en-NZ" sz="800" b="1" i="0" strike="noStrike">
              <a:solidFill>
                <a:srgbClr val="000000"/>
              </a:solidFill>
              <a:latin typeface="Times New Roman"/>
              <a:cs typeface="Times New Roman"/>
            </a:rPr>
            <a:t>Others</a:t>
          </a:r>
          <a:r>
            <a:rPr lang="en-NZ" sz="800" b="0" i="0" strike="noStrike">
              <a:solidFill>
                <a:srgbClr val="000000"/>
              </a:solidFill>
              <a:latin typeface="Times New Roman"/>
              <a:cs typeface="Times New Roman"/>
            </a:rPr>
            <a:t> are all other countries from which New Zealand has imported forestry products in the year.</a:t>
          </a:r>
        </a:p>
        <a:p>
          <a:pPr algn="l" rtl="0">
            <a:defRPr sz="1000"/>
          </a:pPr>
          <a:r>
            <a:rPr lang="en-NZ" sz="800" b="0" i="0" strike="noStrike">
              <a:solidFill>
                <a:srgbClr val="000000"/>
              </a:solidFill>
              <a:latin typeface="Times New Roman"/>
              <a:cs typeface="Times New Roman"/>
            </a:rPr>
            <a:t>6. Statistics for specific countries and forestry products are available on request to the Forestry Statistics Section, Ministry of Forestry, Wellington, New Zealand.</a:t>
          </a:r>
        </a:p>
        <a:p>
          <a:pPr algn="l" rtl="0">
            <a:defRPr sz="1000"/>
          </a:pPr>
          <a:r>
            <a:rPr lang="en-NZ" sz="800" b="0" i="0" strike="noStrike">
              <a:solidFill>
                <a:srgbClr val="000000"/>
              </a:solidFill>
              <a:latin typeface="Times New Roman"/>
              <a:cs typeface="Times New Roman"/>
            </a:rPr>
            <a:t>7. This table updates Table E17 of </a:t>
          </a:r>
          <a:r>
            <a:rPr lang="en-NZ" sz="800" b="1" i="0" strike="noStrike">
              <a:solidFill>
                <a:srgbClr val="000000"/>
              </a:solidFill>
              <a:latin typeface="Times New Roman"/>
              <a:cs typeface="Times New Roman"/>
            </a:rPr>
            <a:t>New Zealand Forestry Statistics 1997,</a:t>
          </a:r>
          <a:r>
            <a:rPr lang="en-NZ" sz="800" b="0" i="0" strike="noStrike">
              <a:solidFill>
                <a:srgbClr val="000000"/>
              </a:solidFill>
              <a:latin typeface="Times New Roman"/>
              <a:cs typeface="Times New Roman"/>
            </a:rPr>
            <a:t> Ministry of Agriculture and Forestry (Wellington, 1998).</a:t>
          </a:r>
        </a:p>
        <a:p>
          <a:pPr algn="l" rtl="0">
            <a:defRPr sz="1000"/>
          </a:pPr>
          <a:endParaRPr lang="en-NZ" sz="800" b="0" i="0" strike="noStrike">
            <a:solidFill>
              <a:srgbClr val="000000"/>
            </a:solidFill>
            <a:latin typeface="Times New Roman"/>
            <a:cs typeface="Times New Roman"/>
          </a:endParaRPr>
        </a:p>
        <a:p>
          <a:pPr algn="l" rtl="0">
            <a:defRPr sz="1000"/>
          </a:pPr>
          <a:r>
            <a:rPr lang="en-NZ" sz="800" b="1" i="0" strike="noStrike">
              <a:solidFill>
                <a:srgbClr val="000000"/>
              </a:solidFill>
              <a:latin typeface="Times New Roman"/>
              <a:cs typeface="Times New Roman"/>
            </a:rPr>
            <a:t>Symbol</a:t>
          </a:r>
          <a:endParaRPr lang="en-NZ" sz="800" b="0" i="0" strike="noStrike">
            <a:solidFill>
              <a:srgbClr val="000000"/>
            </a:solidFill>
            <a:latin typeface="Times New Roman"/>
            <a:cs typeface="Times New Roman"/>
          </a:endParaRPr>
        </a:p>
        <a:p>
          <a:pPr algn="l" rtl="0">
            <a:defRPr sz="1000"/>
          </a:pPr>
          <a:r>
            <a:rPr lang="en-NZ" sz="800" b="0" i="0" strike="noStrike">
              <a:solidFill>
                <a:srgbClr val="000000"/>
              </a:solidFill>
              <a:latin typeface="Times New Roman"/>
              <a:cs typeface="Times New Roman"/>
            </a:rPr>
            <a:t>-   Nil  </a:t>
          </a:r>
          <a:endParaRPr lang="en-NZ" sz="800" b="0" i="0" strike="noStrike">
            <a:solidFill>
              <a:srgbClr val="000000"/>
            </a:solidFill>
            <a:latin typeface="Book Antiqua"/>
          </a:endParaRPr>
        </a:p>
        <a:p>
          <a:pPr algn="l" rtl="0">
            <a:defRPr sz="1000"/>
          </a:pPr>
          <a:endParaRPr lang="en-NZ" sz="800" b="0" i="0" strike="noStrike">
            <a:solidFill>
              <a:srgbClr val="000000"/>
            </a:solidFill>
            <a:latin typeface="Book Antiqu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19050</xdr:colOff>
      <xdr:row>37</xdr:row>
      <xdr:rowOff>0</xdr:rowOff>
    </xdr:from>
    <xdr:to>
      <xdr:col>12</xdr:col>
      <xdr:colOff>457200</xdr:colOff>
      <xdr:row>37</xdr:row>
      <xdr:rowOff>0</xdr:rowOff>
    </xdr:to>
    <xdr:sp macro="" textlink="">
      <xdr:nvSpPr>
        <xdr:cNvPr id="10242" name="Text Box 2">
          <a:extLst>
            <a:ext uri="{FF2B5EF4-FFF2-40B4-BE49-F238E27FC236}">
              <a16:creationId xmlns:a16="http://schemas.microsoft.com/office/drawing/2014/main" id="{00000000-0008-0000-1500-000002280000}"/>
            </a:ext>
          </a:extLst>
        </xdr:cNvPr>
        <xdr:cNvSpPr txBox="1">
          <a:spLocks noChangeArrowheads="1"/>
        </xdr:cNvSpPr>
      </xdr:nvSpPr>
      <xdr:spPr bwMode="auto">
        <a:xfrm>
          <a:off x="19050" y="5553075"/>
          <a:ext cx="8362950"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NZ" sz="800" b="0" i="0" strike="noStrike">
              <a:solidFill>
                <a:srgbClr val="000000"/>
              </a:solidFill>
              <a:latin typeface="Times New Roman"/>
              <a:cs typeface="Times New Roman"/>
            </a:rPr>
            <a:t>Note:</a:t>
          </a:r>
        </a:p>
        <a:p>
          <a:pPr algn="l" rtl="0">
            <a:defRPr sz="1000"/>
          </a:pPr>
          <a:r>
            <a:rPr lang="en-NZ" sz="800" b="0" i="0" strike="noStrike">
              <a:solidFill>
                <a:srgbClr val="000000"/>
              </a:solidFill>
              <a:latin typeface="Times New Roman"/>
              <a:cs typeface="Times New Roman"/>
            </a:rPr>
            <a:t>1. This table includes all those countries from which New Zealand has imported NZ$1 million or more of forestry products during the year.</a:t>
          </a:r>
        </a:p>
        <a:p>
          <a:pPr algn="l" rtl="0">
            <a:defRPr sz="1000"/>
          </a:pPr>
          <a:r>
            <a:rPr lang="en-NZ" sz="800" b="0" i="0" strike="noStrike">
              <a:solidFill>
                <a:srgbClr val="000000"/>
              </a:solidFill>
              <a:latin typeface="Times New Roman"/>
              <a:cs typeface="Times New Roman"/>
            </a:rPr>
            <a:t>2. </a:t>
          </a:r>
          <a:r>
            <a:rPr lang="en-NZ" sz="800" b="1" i="0" strike="noStrike">
              <a:solidFill>
                <a:srgbClr val="000000"/>
              </a:solidFill>
              <a:latin typeface="Times New Roman"/>
              <a:cs typeface="Times New Roman"/>
            </a:rPr>
            <a:t>Values</a:t>
          </a:r>
          <a:r>
            <a:rPr lang="en-NZ" sz="800" b="0" i="0" strike="noStrike">
              <a:solidFill>
                <a:srgbClr val="000000"/>
              </a:solidFill>
              <a:latin typeface="Times New Roman"/>
              <a:cs typeface="Times New Roman"/>
            </a:rPr>
            <a:t> are NZ$ c.i.f. (cost, insurance and freight) and may include items for which no quantities are given.</a:t>
          </a:r>
        </a:p>
        <a:p>
          <a:pPr algn="l" rtl="0">
            <a:defRPr sz="1000"/>
          </a:pPr>
          <a:r>
            <a:rPr lang="en-NZ" sz="800" b="0" i="0" strike="noStrike">
              <a:solidFill>
                <a:srgbClr val="000000"/>
              </a:solidFill>
              <a:latin typeface="Times New Roman"/>
              <a:cs typeface="Times New Roman"/>
            </a:rPr>
            <a:t>3.  </a:t>
          </a:r>
          <a:r>
            <a:rPr lang="en-NZ" sz="800" b="1" i="0" strike="noStrike">
              <a:solidFill>
                <a:srgbClr val="000000"/>
              </a:solidFill>
              <a:latin typeface="Times New Roman"/>
              <a:cs typeface="Times New Roman"/>
            </a:rPr>
            <a:t>Panel products</a:t>
          </a:r>
          <a:r>
            <a:rPr lang="en-NZ" sz="800" b="0" i="0" strike="noStrike">
              <a:solidFill>
                <a:srgbClr val="000000"/>
              </a:solidFill>
              <a:latin typeface="Times New Roman"/>
              <a:cs typeface="Times New Roman"/>
            </a:rPr>
            <a:t> is the total of fibreboard, plywood, veneer and particleboard as shown in Table 1.</a:t>
          </a:r>
        </a:p>
        <a:p>
          <a:pPr algn="l" rtl="0">
            <a:defRPr sz="1000"/>
          </a:pPr>
          <a:r>
            <a:rPr lang="en-NZ" sz="800" b="0" i="0" strike="noStrike">
              <a:solidFill>
                <a:srgbClr val="000000"/>
              </a:solidFill>
              <a:latin typeface="Times New Roman"/>
              <a:cs typeface="Times New Roman"/>
            </a:rPr>
            <a:t>4. </a:t>
          </a:r>
          <a:r>
            <a:rPr lang="en-NZ" sz="800" b="1" i="0" strike="noStrike">
              <a:solidFill>
                <a:srgbClr val="000000"/>
              </a:solidFill>
              <a:latin typeface="Times New Roman"/>
              <a:cs typeface="Times New Roman"/>
            </a:rPr>
            <a:t>All other forestry products</a:t>
          </a:r>
          <a:r>
            <a:rPr lang="en-NZ" sz="800" b="0" i="0" strike="noStrike">
              <a:solidFill>
                <a:srgbClr val="000000"/>
              </a:solidFill>
              <a:latin typeface="Times New Roman"/>
              <a:cs typeface="Times New Roman"/>
            </a:rPr>
            <a:t> includes manufactures of paper and paperboard, wooden furniture and furniture parts and miscellaneous forestry products as in Table 1.</a:t>
          </a:r>
        </a:p>
        <a:p>
          <a:pPr algn="l" rtl="0">
            <a:defRPr sz="1000"/>
          </a:pPr>
          <a:r>
            <a:rPr lang="en-NZ" sz="800" b="0" i="0" strike="noStrike">
              <a:solidFill>
                <a:srgbClr val="000000"/>
              </a:solidFill>
              <a:latin typeface="Times New Roman"/>
              <a:cs typeface="Times New Roman"/>
            </a:rPr>
            <a:t>5. </a:t>
          </a:r>
          <a:r>
            <a:rPr lang="en-NZ" sz="800" b="1" i="0" strike="noStrike">
              <a:solidFill>
                <a:srgbClr val="000000"/>
              </a:solidFill>
              <a:latin typeface="Times New Roman"/>
              <a:cs typeface="Times New Roman"/>
            </a:rPr>
            <a:t>Others</a:t>
          </a:r>
          <a:r>
            <a:rPr lang="en-NZ" sz="800" b="0" i="0" strike="noStrike">
              <a:solidFill>
                <a:srgbClr val="000000"/>
              </a:solidFill>
              <a:latin typeface="Times New Roman"/>
              <a:cs typeface="Times New Roman"/>
            </a:rPr>
            <a:t> are all other countries from which New Zealand has imported forestry products in the year.</a:t>
          </a:r>
        </a:p>
        <a:p>
          <a:pPr algn="l" rtl="0">
            <a:defRPr sz="1000"/>
          </a:pPr>
          <a:r>
            <a:rPr lang="en-NZ" sz="800" b="0" i="0" strike="noStrike">
              <a:solidFill>
                <a:srgbClr val="000000"/>
              </a:solidFill>
              <a:latin typeface="Times New Roman"/>
              <a:cs typeface="Times New Roman"/>
            </a:rPr>
            <a:t>6. Statistics for specific countries and forestry products are available on request to the Forestry Statistics Section, Ministry of Forestry, Wellington, New Zealand.</a:t>
          </a:r>
        </a:p>
        <a:p>
          <a:pPr algn="l" rtl="0">
            <a:defRPr sz="1000"/>
          </a:pPr>
          <a:r>
            <a:rPr lang="en-NZ" sz="800" b="0" i="0" strike="noStrike">
              <a:solidFill>
                <a:srgbClr val="000000"/>
              </a:solidFill>
              <a:latin typeface="Times New Roman"/>
              <a:cs typeface="Times New Roman"/>
            </a:rPr>
            <a:t>7. This table updates Table E17 of </a:t>
          </a:r>
          <a:r>
            <a:rPr lang="en-NZ" sz="800" b="1" i="0" strike="noStrike">
              <a:solidFill>
                <a:srgbClr val="000000"/>
              </a:solidFill>
              <a:latin typeface="Times New Roman"/>
              <a:cs typeface="Times New Roman"/>
            </a:rPr>
            <a:t>New Zealand Forestry Statistics 1997,</a:t>
          </a:r>
          <a:r>
            <a:rPr lang="en-NZ" sz="800" b="0" i="0" strike="noStrike">
              <a:solidFill>
                <a:srgbClr val="000000"/>
              </a:solidFill>
              <a:latin typeface="Times New Roman"/>
              <a:cs typeface="Times New Roman"/>
            </a:rPr>
            <a:t> Ministry of Agriculture and Forestry (Wellington, 1998).</a:t>
          </a:r>
        </a:p>
        <a:p>
          <a:pPr algn="l" rtl="0">
            <a:defRPr sz="1000"/>
          </a:pPr>
          <a:endParaRPr lang="en-NZ" sz="800" b="0" i="0" strike="noStrike">
            <a:solidFill>
              <a:srgbClr val="000000"/>
            </a:solidFill>
            <a:latin typeface="Times New Roman"/>
            <a:cs typeface="Times New Roman"/>
          </a:endParaRPr>
        </a:p>
        <a:p>
          <a:pPr algn="l" rtl="0">
            <a:defRPr sz="1000"/>
          </a:pPr>
          <a:r>
            <a:rPr lang="en-NZ" sz="800" b="1" i="0" strike="noStrike">
              <a:solidFill>
                <a:srgbClr val="000000"/>
              </a:solidFill>
              <a:latin typeface="Times New Roman"/>
              <a:cs typeface="Times New Roman"/>
            </a:rPr>
            <a:t>Symbol</a:t>
          </a:r>
          <a:endParaRPr lang="en-NZ" sz="800" b="0" i="0" strike="noStrike">
            <a:solidFill>
              <a:srgbClr val="000000"/>
            </a:solidFill>
            <a:latin typeface="Times New Roman"/>
            <a:cs typeface="Times New Roman"/>
          </a:endParaRPr>
        </a:p>
        <a:p>
          <a:pPr algn="l" rtl="0">
            <a:defRPr sz="1000"/>
          </a:pPr>
          <a:r>
            <a:rPr lang="en-NZ" sz="800" b="0" i="0" strike="noStrike">
              <a:solidFill>
                <a:srgbClr val="000000"/>
              </a:solidFill>
              <a:latin typeface="Times New Roman"/>
              <a:cs typeface="Times New Roman"/>
            </a:rPr>
            <a:t>-   Nil.</a:t>
          </a:r>
          <a:endParaRPr lang="en-NZ" sz="800" b="0" i="0" strike="noStrike">
            <a:solidFill>
              <a:srgbClr val="000000"/>
            </a:solidFill>
            <a:latin typeface="Book Antiqua"/>
          </a:endParaRPr>
        </a:p>
        <a:p>
          <a:pPr algn="l" rtl="0">
            <a:defRPr sz="1000"/>
          </a:pPr>
          <a:endParaRPr lang="en-NZ" sz="800" b="0" i="0" strike="noStrike">
            <a:solidFill>
              <a:srgbClr val="000000"/>
            </a:solidFill>
            <a:latin typeface="Book Antiqu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37</xdr:row>
      <xdr:rowOff>0</xdr:rowOff>
    </xdr:from>
    <xdr:to>
      <xdr:col>12</xdr:col>
      <xdr:colOff>409575</xdr:colOff>
      <xdr:row>37</xdr:row>
      <xdr:rowOff>0</xdr:rowOff>
    </xdr:to>
    <xdr:sp macro="" textlink="">
      <xdr:nvSpPr>
        <xdr:cNvPr id="11265" name="Text 6">
          <a:extLst>
            <a:ext uri="{FF2B5EF4-FFF2-40B4-BE49-F238E27FC236}">
              <a16:creationId xmlns:a16="http://schemas.microsoft.com/office/drawing/2014/main" id="{00000000-0008-0000-1600-0000012C0000}"/>
            </a:ext>
          </a:extLst>
        </xdr:cNvPr>
        <xdr:cNvSpPr txBox="1">
          <a:spLocks noChangeArrowheads="1"/>
        </xdr:cNvSpPr>
      </xdr:nvSpPr>
      <xdr:spPr bwMode="auto">
        <a:xfrm>
          <a:off x="0" y="5553075"/>
          <a:ext cx="833437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en-NZ" sz="800" b="1" i="0" strike="noStrike">
              <a:solidFill>
                <a:srgbClr val="000000"/>
              </a:solidFill>
              <a:latin typeface="Times New Roman"/>
              <a:cs typeface="Times New Roman"/>
            </a:rPr>
            <a:t>Note</a:t>
          </a:r>
          <a:endParaRPr lang="en-NZ" sz="800" b="0" i="0" strike="noStrike">
            <a:solidFill>
              <a:srgbClr val="000000"/>
            </a:solidFill>
            <a:latin typeface="Times New Roman"/>
            <a:cs typeface="Times New Roman"/>
          </a:endParaRPr>
        </a:p>
        <a:p>
          <a:pPr algn="l" rtl="0">
            <a:defRPr sz="1000"/>
          </a:pPr>
          <a:r>
            <a:rPr lang="en-NZ" sz="800" b="0" i="0" strike="noStrike">
              <a:solidFill>
                <a:srgbClr val="000000"/>
              </a:solidFill>
              <a:latin typeface="Times New Roman"/>
              <a:cs typeface="Times New Roman"/>
            </a:rPr>
            <a:t>1. This table includes all those countries from which New Zealand has imported NZ$1 million or more of forestry products during the year.</a:t>
          </a:r>
        </a:p>
        <a:p>
          <a:pPr algn="l" rtl="0">
            <a:defRPr sz="1000"/>
          </a:pPr>
          <a:r>
            <a:rPr lang="en-NZ" sz="800" b="0" i="0" strike="noStrike">
              <a:solidFill>
                <a:srgbClr val="000000"/>
              </a:solidFill>
              <a:latin typeface="Times New Roman"/>
              <a:cs typeface="Times New Roman"/>
            </a:rPr>
            <a:t>2. </a:t>
          </a:r>
          <a:r>
            <a:rPr lang="en-NZ" sz="800" b="1" i="0" strike="noStrike">
              <a:solidFill>
                <a:srgbClr val="000000"/>
              </a:solidFill>
              <a:latin typeface="Times New Roman"/>
              <a:cs typeface="Times New Roman"/>
            </a:rPr>
            <a:t>Values</a:t>
          </a:r>
          <a:r>
            <a:rPr lang="en-NZ" sz="800" b="0" i="0" strike="noStrike">
              <a:solidFill>
                <a:srgbClr val="000000"/>
              </a:solidFill>
              <a:latin typeface="Times New Roman"/>
              <a:cs typeface="Times New Roman"/>
            </a:rPr>
            <a:t> are NZ$ c.i.f. (cost, insurance and freight) and may include items for which no quantities are given.</a:t>
          </a:r>
        </a:p>
        <a:p>
          <a:pPr algn="l" rtl="0">
            <a:defRPr sz="1000"/>
          </a:pPr>
          <a:r>
            <a:rPr lang="en-NZ" sz="800" b="0" i="0" strike="noStrike">
              <a:solidFill>
                <a:srgbClr val="000000"/>
              </a:solidFill>
              <a:latin typeface="Times New Roman"/>
              <a:cs typeface="Times New Roman"/>
            </a:rPr>
            <a:t>3.  </a:t>
          </a:r>
          <a:r>
            <a:rPr lang="en-NZ" sz="800" b="1" i="0" strike="noStrike">
              <a:solidFill>
                <a:srgbClr val="000000"/>
              </a:solidFill>
              <a:latin typeface="Times New Roman"/>
              <a:cs typeface="Times New Roman"/>
            </a:rPr>
            <a:t>Panel products</a:t>
          </a:r>
          <a:r>
            <a:rPr lang="en-NZ" sz="800" b="0" i="0" strike="noStrike">
              <a:solidFill>
                <a:srgbClr val="000000"/>
              </a:solidFill>
              <a:latin typeface="Times New Roman"/>
              <a:cs typeface="Times New Roman"/>
            </a:rPr>
            <a:t> is the total of fibreboard, plywood, veneer and particleboard as shown in Table 1.</a:t>
          </a:r>
        </a:p>
        <a:p>
          <a:pPr algn="l" rtl="0">
            <a:defRPr sz="1000"/>
          </a:pPr>
          <a:r>
            <a:rPr lang="en-NZ" sz="800" b="0" i="0" strike="noStrike">
              <a:solidFill>
                <a:srgbClr val="000000"/>
              </a:solidFill>
              <a:latin typeface="Times New Roman"/>
              <a:cs typeface="Times New Roman"/>
            </a:rPr>
            <a:t>4. </a:t>
          </a:r>
          <a:r>
            <a:rPr lang="en-NZ" sz="800" b="1" i="0" strike="noStrike">
              <a:solidFill>
                <a:srgbClr val="000000"/>
              </a:solidFill>
              <a:latin typeface="Times New Roman"/>
              <a:cs typeface="Times New Roman"/>
            </a:rPr>
            <a:t>All other forestry products</a:t>
          </a:r>
          <a:r>
            <a:rPr lang="en-NZ" sz="800" b="0" i="0" strike="noStrike">
              <a:solidFill>
                <a:srgbClr val="000000"/>
              </a:solidFill>
              <a:latin typeface="Times New Roman"/>
              <a:cs typeface="Times New Roman"/>
            </a:rPr>
            <a:t> includes manufactures of paper and paperboard, wooden furniture and furniture parts and miscellaneous forestry products as in Table 1.</a:t>
          </a:r>
        </a:p>
        <a:p>
          <a:pPr algn="l" rtl="0">
            <a:defRPr sz="1000"/>
          </a:pPr>
          <a:r>
            <a:rPr lang="en-NZ" sz="800" b="0" i="0" strike="noStrike">
              <a:solidFill>
                <a:srgbClr val="000000"/>
              </a:solidFill>
              <a:latin typeface="Times New Roman"/>
              <a:cs typeface="Times New Roman"/>
            </a:rPr>
            <a:t>5. </a:t>
          </a:r>
          <a:r>
            <a:rPr lang="en-NZ" sz="800" b="1" i="0" strike="noStrike">
              <a:solidFill>
                <a:srgbClr val="000000"/>
              </a:solidFill>
              <a:latin typeface="Times New Roman"/>
              <a:cs typeface="Times New Roman"/>
            </a:rPr>
            <a:t>Others</a:t>
          </a:r>
          <a:r>
            <a:rPr lang="en-NZ" sz="800" b="0" i="0" strike="noStrike">
              <a:solidFill>
                <a:srgbClr val="000000"/>
              </a:solidFill>
              <a:latin typeface="Times New Roman"/>
              <a:cs typeface="Times New Roman"/>
            </a:rPr>
            <a:t> are all other countries from which New Zealand has imported forestry products in the year.</a:t>
          </a:r>
        </a:p>
        <a:p>
          <a:pPr algn="l" rtl="0">
            <a:defRPr sz="1000"/>
          </a:pPr>
          <a:r>
            <a:rPr lang="en-NZ" sz="800" b="0" i="0" strike="noStrike">
              <a:solidFill>
                <a:srgbClr val="000000"/>
              </a:solidFill>
              <a:latin typeface="Times New Roman"/>
              <a:cs typeface="Times New Roman"/>
            </a:rPr>
            <a:t>6. Statistics for specific countries and forestry products are available on request to the Forestry Statistics Section, Ministry of Forestry, Wellington, New Zealand.</a:t>
          </a:r>
        </a:p>
        <a:p>
          <a:pPr algn="l" rtl="0">
            <a:defRPr sz="1000"/>
          </a:pPr>
          <a:r>
            <a:rPr lang="en-NZ" sz="800" b="0" i="0" strike="noStrike">
              <a:solidFill>
                <a:srgbClr val="000000"/>
              </a:solidFill>
              <a:latin typeface="Times New Roman"/>
              <a:cs typeface="Times New Roman"/>
            </a:rPr>
            <a:t>7. This table updates Table E17 of </a:t>
          </a:r>
          <a:r>
            <a:rPr lang="en-NZ" sz="800" b="1" i="0" strike="noStrike">
              <a:solidFill>
                <a:srgbClr val="000000"/>
              </a:solidFill>
              <a:latin typeface="Times New Roman"/>
              <a:cs typeface="Times New Roman"/>
            </a:rPr>
            <a:t>New Zealand Forestry Statistics 1995,</a:t>
          </a:r>
          <a:r>
            <a:rPr lang="en-NZ" sz="800" b="0" i="0" strike="noStrike">
              <a:solidFill>
                <a:srgbClr val="000000"/>
              </a:solidFill>
              <a:latin typeface="Times New Roman"/>
              <a:cs typeface="Times New Roman"/>
            </a:rPr>
            <a:t> Ministry of Forestry (Wellington, 1995).</a:t>
          </a:r>
        </a:p>
        <a:p>
          <a:pPr algn="l" rtl="0">
            <a:defRPr sz="1000"/>
          </a:pPr>
          <a:endParaRPr lang="en-NZ" sz="800" b="0" i="0" strike="noStrike">
            <a:solidFill>
              <a:srgbClr val="000000"/>
            </a:solidFill>
            <a:latin typeface="Times New Roman"/>
            <a:cs typeface="Times New Roman"/>
          </a:endParaRPr>
        </a:p>
        <a:p>
          <a:pPr algn="l" rtl="0">
            <a:defRPr sz="1000"/>
          </a:pPr>
          <a:r>
            <a:rPr lang="en-NZ" sz="800" b="1" i="0" strike="noStrike">
              <a:solidFill>
                <a:srgbClr val="000000"/>
              </a:solidFill>
              <a:latin typeface="Times New Roman"/>
              <a:cs typeface="Times New Roman"/>
            </a:rPr>
            <a:t>Symbol</a:t>
          </a:r>
          <a:endParaRPr lang="en-NZ" sz="800" b="0" i="0" strike="noStrike">
            <a:solidFill>
              <a:srgbClr val="000000"/>
            </a:solidFill>
            <a:latin typeface="Times New Roman"/>
            <a:cs typeface="Times New Roman"/>
          </a:endParaRPr>
        </a:p>
        <a:p>
          <a:pPr algn="l" rtl="0">
            <a:defRPr sz="1000"/>
          </a:pPr>
          <a:r>
            <a:rPr lang="en-NZ" sz="800" b="0" i="0" strike="noStrike">
              <a:solidFill>
                <a:srgbClr val="000000"/>
              </a:solidFill>
              <a:latin typeface="Times New Roman"/>
              <a:cs typeface="Times New Roman"/>
            </a:rPr>
            <a:t>-   Nil.</a:t>
          </a:r>
          <a:endParaRPr lang="en-NZ" sz="800" b="0" i="0" strike="noStrike">
            <a:solidFill>
              <a:srgbClr val="000000"/>
            </a:solidFill>
            <a:latin typeface="Book Antiqua"/>
          </a:endParaRPr>
        </a:p>
        <a:p>
          <a:pPr algn="l" rtl="0">
            <a:defRPr sz="1000"/>
          </a:pPr>
          <a:endParaRPr lang="en-NZ" sz="800" b="0" i="0" strike="noStrike">
            <a:solidFill>
              <a:srgbClr val="000000"/>
            </a:solidFill>
            <a:latin typeface="Book Antiqu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orestry%20Trade%20Data/Qrt%20Trade%20201606/Annual%20data/Working%20sheets/June%20Imports%20by%20Product%20by%20Countr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sty-JuneDec-imports-by-pro"/>
      <sheetName val="m3"/>
      <sheetName val="Tonnes"/>
      <sheetName val="Kg"/>
      <sheetName val="Total"/>
      <sheetName val="Formatted"/>
    </sheetNames>
    <sheetDataSet>
      <sheetData sheetId="0"/>
      <sheetData sheetId="1">
        <row r="7">
          <cell r="A7" t="str">
            <v>Australia</v>
          </cell>
        </row>
        <row r="8">
          <cell r="A8" t="str">
            <v>Belgium</v>
          </cell>
        </row>
        <row r="9">
          <cell r="A9" t="str">
            <v>Bolivia</v>
          </cell>
        </row>
        <row r="10">
          <cell r="A10" t="str">
            <v>Brazil</v>
          </cell>
        </row>
        <row r="11">
          <cell r="A11" t="str">
            <v>Canada</v>
          </cell>
        </row>
        <row r="12">
          <cell r="A12" t="str">
            <v>Chile</v>
          </cell>
        </row>
        <row r="13">
          <cell r="A13" t="str">
            <v>China, People's Republic of</v>
          </cell>
        </row>
        <row r="14">
          <cell r="A14" t="str">
            <v>Czech Republic</v>
          </cell>
        </row>
        <row r="15">
          <cell r="A15" t="str">
            <v>Denmark</v>
          </cell>
        </row>
        <row r="16">
          <cell r="A16" t="str">
            <v>Fiji</v>
          </cell>
        </row>
        <row r="17">
          <cell r="A17" t="str">
            <v>Finland</v>
          </cell>
        </row>
        <row r="18">
          <cell r="A18" t="str">
            <v>France</v>
          </cell>
        </row>
        <row r="19">
          <cell r="A19" t="str">
            <v>Germany</v>
          </cell>
        </row>
        <row r="20">
          <cell r="A20" t="str">
            <v>Guyana</v>
          </cell>
        </row>
        <row r="21">
          <cell r="A21" t="str">
            <v>Hong Kong (Special Administrative Region)</v>
          </cell>
        </row>
        <row r="22">
          <cell r="A22" t="str">
            <v>Hungary</v>
          </cell>
        </row>
        <row r="23">
          <cell r="A23" t="str">
            <v>India</v>
          </cell>
        </row>
        <row r="24">
          <cell r="A24" t="str">
            <v>Indonesia</v>
          </cell>
        </row>
        <row r="25">
          <cell r="A25" t="str">
            <v>Italy</v>
          </cell>
        </row>
        <row r="26">
          <cell r="A26" t="str">
            <v>Japan</v>
          </cell>
        </row>
        <row r="27">
          <cell r="A27" t="str">
            <v>Korea, Republic of</v>
          </cell>
        </row>
        <row r="28">
          <cell r="A28" t="str">
            <v>Latvia</v>
          </cell>
        </row>
        <row r="29">
          <cell r="A29" t="str">
            <v>Malaysia</v>
          </cell>
        </row>
        <row r="30">
          <cell r="A30" t="str">
            <v>Myanmar</v>
          </cell>
        </row>
        <row r="31">
          <cell r="A31" t="str">
            <v>Netherlands</v>
          </cell>
        </row>
        <row r="32">
          <cell r="A32" t="str">
            <v>New Zealand</v>
          </cell>
        </row>
        <row r="33">
          <cell r="A33" t="str">
            <v>Papua New Guinea</v>
          </cell>
        </row>
        <row r="34">
          <cell r="A34" t="str">
            <v>Peru</v>
          </cell>
        </row>
        <row r="35">
          <cell r="A35" t="str">
            <v>Philippines</v>
          </cell>
        </row>
        <row r="36">
          <cell r="A36" t="str">
            <v>Poland</v>
          </cell>
        </row>
        <row r="37">
          <cell r="A37" t="str">
            <v>Portugal</v>
          </cell>
        </row>
        <row r="38">
          <cell r="A38" t="str">
            <v>Russia</v>
          </cell>
        </row>
        <row r="39">
          <cell r="A39" t="str">
            <v>Singapore</v>
          </cell>
        </row>
        <row r="40">
          <cell r="A40" t="str">
            <v>Solomon Islands</v>
          </cell>
        </row>
        <row r="41">
          <cell r="A41" t="str">
            <v>South Africa</v>
          </cell>
        </row>
        <row r="42">
          <cell r="A42" t="str">
            <v>Spain</v>
          </cell>
        </row>
        <row r="43">
          <cell r="A43" t="str">
            <v>Sweden</v>
          </cell>
        </row>
        <row r="44">
          <cell r="A44" t="str">
            <v>Taiwan</v>
          </cell>
        </row>
        <row r="45">
          <cell r="A45" t="str">
            <v>Thailand</v>
          </cell>
        </row>
        <row r="46">
          <cell r="A46" t="str">
            <v>United Kingdom</v>
          </cell>
        </row>
        <row r="47">
          <cell r="A47" t="str">
            <v>United States of America</v>
          </cell>
        </row>
        <row r="48">
          <cell r="A48" t="str">
            <v>Viet Nam</v>
          </cell>
        </row>
        <row r="49">
          <cell r="A49" t="str">
            <v>Grand Total</v>
          </cell>
        </row>
      </sheetData>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106"/>
  <sheetViews>
    <sheetView workbookViewId="0"/>
  </sheetViews>
  <sheetFormatPr defaultRowHeight="12.75" x14ac:dyDescent="0.2"/>
  <cols>
    <col min="1" max="1" width="16.28515625" style="123" customWidth="1"/>
    <col min="2" max="2" width="70.140625" style="123" customWidth="1"/>
    <col min="3" max="16384" width="9.140625" style="123"/>
  </cols>
  <sheetData>
    <row r="2" spans="1:2" ht="15.75" customHeight="1" x14ac:dyDescent="0.2">
      <c r="A2" s="122"/>
      <c r="B2" s="122"/>
    </row>
    <row r="3" spans="1:2" ht="19.5" customHeight="1" x14ac:dyDescent="0.3">
      <c r="A3" s="161" t="s">
        <v>113</v>
      </c>
      <c r="B3" s="161"/>
    </row>
    <row r="4" spans="1:2" ht="11.25" customHeight="1" x14ac:dyDescent="0.2">
      <c r="A4" s="124"/>
      <c r="B4" s="124"/>
    </row>
    <row r="5" spans="1:2" ht="14.25" customHeight="1" x14ac:dyDescent="0.2">
      <c r="A5" s="125" t="s">
        <v>114</v>
      </c>
      <c r="B5" s="126" t="s">
        <v>115</v>
      </c>
    </row>
    <row r="6" spans="1:2" ht="14.25" customHeight="1" x14ac:dyDescent="0.2">
      <c r="A6" s="127" t="s">
        <v>116</v>
      </c>
      <c r="B6" s="128" t="s">
        <v>117</v>
      </c>
    </row>
    <row r="7" spans="1:2" ht="14.25" customHeight="1" x14ac:dyDescent="0.2">
      <c r="A7" s="127" t="s">
        <v>118</v>
      </c>
      <c r="B7" s="128" t="s">
        <v>119</v>
      </c>
    </row>
    <row r="8" spans="1:2" ht="14.25" customHeight="1" x14ac:dyDescent="0.2">
      <c r="A8" s="127" t="s">
        <v>120</v>
      </c>
      <c r="B8" s="128" t="s">
        <v>121</v>
      </c>
    </row>
    <row r="9" spans="1:2" ht="14.25" customHeight="1" x14ac:dyDescent="0.2">
      <c r="A9" s="127" t="s">
        <v>122</v>
      </c>
      <c r="B9" s="128" t="s">
        <v>123</v>
      </c>
    </row>
    <row r="10" spans="1:2" ht="14.25" customHeight="1" x14ac:dyDescent="0.2">
      <c r="A10" s="127" t="s">
        <v>124</v>
      </c>
      <c r="B10" s="128" t="s">
        <v>125</v>
      </c>
    </row>
    <row r="11" spans="1:2" ht="14.25" customHeight="1" x14ac:dyDescent="0.2">
      <c r="A11" s="127" t="s">
        <v>126</v>
      </c>
      <c r="B11" s="128" t="s">
        <v>127</v>
      </c>
    </row>
    <row r="12" spans="1:2" ht="14.25" customHeight="1" x14ac:dyDescent="0.2">
      <c r="A12" s="127" t="s">
        <v>128</v>
      </c>
      <c r="B12" s="128" t="s">
        <v>129</v>
      </c>
    </row>
    <row r="13" spans="1:2" ht="14.25" customHeight="1" x14ac:dyDescent="0.2">
      <c r="A13" s="127" t="s">
        <v>130</v>
      </c>
      <c r="B13" s="128" t="s">
        <v>131</v>
      </c>
    </row>
    <row r="14" spans="1:2" ht="14.25" customHeight="1" x14ac:dyDescent="0.2">
      <c r="A14" s="127" t="s">
        <v>132</v>
      </c>
      <c r="B14" s="128" t="s">
        <v>133</v>
      </c>
    </row>
    <row r="15" spans="1:2" ht="14.25" customHeight="1" x14ac:dyDescent="0.2">
      <c r="A15" s="127" t="s">
        <v>134</v>
      </c>
      <c r="B15" s="128" t="s">
        <v>135</v>
      </c>
    </row>
    <row r="16" spans="1:2" ht="14.25" customHeight="1" x14ac:dyDescent="0.2">
      <c r="A16" s="127" t="s">
        <v>136</v>
      </c>
      <c r="B16" s="128" t="s">
        <v>137</v>
      </c>
    </row>
    <row r="17" spans="1:2" ht="14.25" customHeight="1" x14ac:dyDescent="0.2">
      <c r="A17" s="127" t="s">
        <v>138</v>
      </c>
      <c r="B17" s="128" t="s">
        <v>139</v>
      </c>
    </row>
    <row r="18" spans="1:2" ht="14.25" customHeight="1" x14ac:dyDescent="0.2">
      <c r="A18" s="127" t="s">
        <v>140</v>
      </c>
      <c r="B18" s="128" t="s">
        <v>141</v>
      </c>
    </row>
    <row r="19" spans="1:2" ht="14.25" customHeight="1" x14ac:dyDescent="0.2">
      <c r="A19" s="127" t="s">
        <v>142</v>
      </c>
      <c r="B19" s="128" t="s">
        <v>143</v>
      </c>
    </row>
    <row r="20" spans="1:2" ht="14.25" customHeight="1" x14ac:dyDescent="0.2">
      <c r="A20" s="127" t="s">
        <v>144</v>
      </c>
      <c r="B20" s="128" t="s">
        <v>145</v>
      </c>
    </row>
    <row r="21" spans="1:2" ht="14.25" customHeight="1" x14ac:dyDescent="0.2">
      <c r="A21" s="127" t="s">
        <v>146</v>
      </c>
      <c r="B21" s="128" t="s">
        <v>147</v>
      </c>
    </row>
    <row r="22" spans="1:2" ht="14.25" customHeight="1" x14ac:dyDescent="0.2">
      <c r="A22" s="127" t="s">
        <v>148</v>
      </c>
      <c r="B22" s="128" t="s">
        <v>149</v>
      </c>
    </row>
    <row r="23" spans="1:2" ht="14.25" customHeight="1" x14ac:dyDescent="0.2">
      <c r="A23" s="127" t="s">
        <v>150</v>
      </c>
      <c r="B23" s="128" t="s">
        <v>151</v>
      </c>
    </row>
    <row r="24" spans="1:2" ht="14.25" customHeight="1" x14ac:dyDescent="0.2">
      <c r="A24" s="127" t="s">
        <v>152</v>
      </c>
      <c r="B24" s="128" t="s">
        <v>153</v>
      </c>
    </row>
    <row r="25" spans="1:2" ht="14.25" customHeight="1" x14ac:dyDescent="0.2">
      <c r="A25" s="127" t="s">
        <v>154</v>
      </c>
      <c r="B25" s="128" t="s">
        <v>155</v>
      </c>
    </row>
    <row r="26" spans="1:2" ht="14.25" customHeight="1" x14ac:dyDescent="0.2">
      <c r="A26" s="127" t="s">
        <v>156</v>
      </c>
      <c r="B26" s="128" t="s">
        <v>157</v>
      </c>
    </row>
    <row r="27" spans="1:2" ht="15.75" customHeight="1" x14ac:dyDescent="0.2">
      <c r="A27" s="129"/>
      <c r="B27" s="129"/>
    </row>
    <row r="28" spans="1:2" ht="19.5" customHeight="1" x14ac:dyDescent="0.2">
      <c r="A28" s="159" t="s">
        <v>158</v>
      </c>
      <c r="B28" s="159"/>
    </row>
    <row r="29" spans="1:2" ht="12.75" customHeight="1" x14ac:dyDescent="0.2">
      <c r="A29" s="130" t="s">
        <v>159</v>
      </c>
      <c r="B29" s="128" t="s">
        <v>160</v>
      </c>
    </row>
    <row r="30" spans="1:2" ht="15" customHeight="1" x14ac:dyDescent="0.2">
      <c r="A30" s="130" t="s">
        <v>161</v>
      </c>
      <c r="B30" s="128" t="s">
        <v>162</v>
      </c>
    </row>
    <row r="31" spans="1:2" ht="15" customHeight="1" x14ac:dyDescent="0.2">
      <c r="A31" s="130" t="s">
        <v>163</v>
      </c>
      <c r="B31" s="128" t="s">
        <v>164</v>
      </c>
    </row>
    <row r="32" spans="1:2" ht="15" customHeight="1" x14ac:dyDescent="0.2">
      <c r="A32" s="130" t="s">
        <v>165</v>
      </c>
      <c r="B32" s="128" t="s">
        <v>166</v>
      </c>
    </row>
    <row r="33" spans="1:2" ht="15" customHeight="1" x14ac:dyDescent="0.2">
      <c r="A33" s="130" t="s">
        <v>167</v>
      </c>
      <c r="B33" s="131" t="s">
        <v>168</v>
      </c>
    </row>
    <row r="34" spans="1:2" ht="12.75" customHeight="1" x14ac:dyDescent="0.2">
      <c r="A34" s="130"/>
      <c r="B34" s="131" t="s">
        <v>169</v>
      </c>
    </row>
    <row r="35" spans="1:2" ht="15" customHeight="1" x14ac:dyDescent="0.2">
      <c r="A35" s="130" t="s">
        <v>170</v>
      </c>
      <c r="B35" s="131" t="s">
        <v>171</v>
      </c>
    </row>
    <row r="36" spans="1:2" ht="12.75" customHeight="1" x14ac:dyDescent="0.2">
      <c r="A36" s="130"/>
      <c r="B36" s="131" t="s">
        <v>172</v>
      </c>
    </row>
    <row r="37" spans="1:2" ht="15" customHeight="1" x14ac:dyDescent="0.2">
      <c r="A37" s="130" t="s">
        <v>173</v>
      </c>
      <c r="B37" s="128" t="s">
        <v>174</v>
      </c>
    </row>
    <row r="38" spans="1:2" ht="15.75" customHeight="1" x14ac:dyDescent="0.2">
      <c r="A38" s="132"/>
      <c r="B38" s="128"/>
    </row>
    <row r="39" spans="1:2" ht="19.5" customHeight="1" x14ac:dyDescent="0.2">
      <c r="A39" s="159" t="s">
        <v>175</v>
      </c>
      <c r="B39" s="159"/>
    </row>
    <row r="40" spans="1:2" ht="25.5" customHeight="1" x14ac:dyDescent="0.2">
      <c r="A40" s="157" t="s">
        <v>176</v>
      </c>
      <c r="B40" s="157"/>
    </row>
    <row r="41" spans="1:2" ht="15.75" customHeight="1" x14ac:dyDescent="0.2">
      <c r="A41" s="129"/>
      <c r="B41" s="129"/>
    </row>
    <row r="42" spans="1:2" ht="19.5" customHeight="1" x14ac:dyDescent="0.2">
      <c r="A42" s="159" t="s">
        <v>177</v>
      </c>
      <c r="B42" s="159"/>
    </row>
    <row r="43" spans="1:2" ht="25.5" customHeight="1" x14ac:dyDescent="0.2">
      <c r="A43" s="160" t="s">
        <v>178</v>
      </c>
      <c r="B43" s="157"/>
    </row>
    <row r="44" spans="1:2" ht="9" customHeight="1" x14ac:dyDescent="0.2">
      <c r="A44" s="129"/>
      <c r="B44" s="129"/>
    </row>
    <row r="45" spans="1:2" ht="25.5" customHeight="1" x14ac:dyDescent="0.2">
      <c r="A45" s="160" t="s">
        <v>179</v>
      </c>
      <c r="B45" s="157"/>
    </row>
    <row r="46" spans="1:2" ht="15.75" customHeight="1" x14ac:dyDescent="0.2">
      <c r="A46" s="129"/>
      <c r="B46" s="129"/>
    </row>
    <row r="47" spans="1:2" ht="19.5" customHeight="1" x14ac:dyDescent="0.2">
      <c r="A47" s="159" t="s">
        <v>180</v>
      </c>
      <c r="B47" s="159"/>
    </row>
    <row r="48" spans="1:2" ht="38.25" customHeight="1" x14ac:dyDescent="0.2">
      <c r="A48" s="160" t="s">
        <v>181</v>
      </c>
      <c r="B48" s="157"/>
    </row>
    <row r="49" spans="1:2" ht="9" customHeight="1" x14ac:dyDescent="0.2">
      <c r="A49" s="129"/>
      <c r="B49" s="129"/>
    </row>
    <row r="50" spans="1:2" ht="63.75" customHeight="1" x14ac:dyDescent="0.2">
      <c r="A50" s="160" t="s">
        <v>182</v>
      </c>
      <c r="B50" s="157"/>
    </row>
    <row r="51" spans="1:2" ht="15.75" customHeight="1" x14ac:dyDescent="0.2">
      <c r="A51" s="129"/>
      <c r="B51" s="129"/>
    </row>
    <row r="52" spans="1:2" ht="19.5" customHeight="1" x14ac:dyDescent="0.2">
      <c r="A52" s="159" t="s">
        <v>183</v>
      </c>
      <c r="B52" s="159"/>
    </row>
    <row r="53" spans="1:2" ht="51" customHeight="1" x14ac:dyDescent="0.2">
      <c r="A53" s="160" t="s">
        <v>184</v>
      </c>
      <c r="B53" s="157"/>
    </row>
    <row r="54" spans="1:2" ht="9" customHeight="1" x14ac:dyDescent="0.2">
      <c r="A54" s="134"/>
      <c r="B54" s="134"/>
    </row>
    <row r="55" spans="1:2" ht="63.75" customHeight="1" x14ac:dyDescent="0.2">
      <c r="A55" s="160" t="s">
        <v>185</v>
      </c>
      <c r="B55" s="157"/>
    </row>
    <row r="56" spans="1:2" ht="15.75" customHeight="1" x14ac:dyDescent="0.2">
      <c r="A56" s="133"/>
      <c r="B56" s="129"/>
    </row>
    <row r="57" spans="1:2" ht="19.5" customHeight="1" x14ac:dyDescent="0.2">
      <c r="A57" s="159" t="s">
        <v>186</v>
      </c>
      <c r="B57" s="159"/>
    </row>
    <row r="58" spans="1:2" ht="38.25" customHeight="1" x14ac:dyDescent="0.2">
      <c r="A58" s="157" t="s">
        <v>187</v>
      </c>
      <c r="B58" s="157"/>
    </row>
    <row r="59" spans="1:2" ht="15.75" customHeight="1" x14ac:dyDescent="0.2">
      <c r="A59" s="133"/>
      <c r="B59" s="129"/>
    </row>
    <row r="60" spans="1:2" ht="19.5" customHeight="1" x14ac:dyDescent="0.2">
      <c r="A60" s="159" t="s">
        <v>188</v>
      </c>
      <c r="B60" s="159"/>
    </row>
    <row r="61" spans="1:2" ht="38.25" customHeight="1" x14ac:dyDescent="0.2">
      <c r="A61" s="157" t="s">
        <v>189</v>
      </c>
      <c r="B61" s="157"/>
    </row>
    <row r="62" spans="1:2" ht="9" customHeight="1" x14ac:dyDescent="0.2">
      <c r="A62" s="133"/>
      <c r="B62" s="129"/>
    </row>
    <row r="63" spans="1:2" ht="51" customHeight="1" x14ac:dyDescent="0.2">
      <c r="A63" s="157" t="s">
        <v>190</v>
      </c>
      <c r="B63" s="157"/>
    </row>
    <row r="64" spans="1:2" ht="15.75" customHeight="1" x14ac:dyDescent="0.2">
      <c r="A64" s="129"/>
      <c r="B64" s="129"/>
    </row>
    <row r="65" spans="1:2" ht="19.5" customHeight="1" x14ac:dyDescent="0.2">
      <c r="A65" s="159" t="s">
        <v>191</v>
      </c>
      <c r="B65" s="159"/>
    </row>
    <row r="66" spans="1:2" ht="12.75" customHeight="1" x14ac:dyDescent="0.2">
      <c r="A66" s="135" t="s">
        <v>192</v>
      </c>
      <c r="B66" s="135"/>
    </row>
    <row r="67" spans="1:2" ht="12.75" customHeight="1" x14ac:dyDescent="0.2">
      <c r="A67" s="135" t="s">
        <v>193</v>
      </c>
      <c r="B67" s="135"/>
    </row>
    <row r="68" spans="1:2" ht="12.75" customHeight="1" x14ac:dyDescent="0.2">
      <c r="A68" s="135" t="s">
        <v>194</v>
      </c>
      <c r="B68" s="135"/>
    </row>
    <row r="69" spans="1:2" ht="12.75" customHeight="1" x14ac:dyDescent="0.2">
      <c r="A69" s="135" t="s">
        <v>195</v>
      </c>
      <c r="B69" s="135"/>
    </row>
    <row r="70" spans="1:2" x14ac:dyDescent="0.2">
      <c r="A70" s="135" t="s">
        <v>196</v>
      </c>
      <c r="B70" s="135"/>
    </row>
    <row r="71" spans="1:2" ht="12.75" customHeight="1" x14ac:dyDescent="0.2">
      <c r="A71" s="135" t="s">
        <v>197</v>
      </c>
      <c r="B71" s="135"/>
    </row>
    <row r="72" spans="1:2" ht="12.75" customHeight="1" x14ac:dyDescent="0.2">
      <c r="A72" s="135" t="s">
        <v>198</v>
      </c>
      <c r="B72" s="135"/>
    </row>
    <row r="73" spans="1:2" ht="12.75" customHeight="1" x14ac:dyDescent="0.2">
      <c r="A73" s="135" t="s">
        <v>199</v>
      </c>
      <c r="B73" s="135"/>
    </row>
    <row r="74" spans="1:2" ht="12.75" customHeight="1" x14ac:dyDescent="0.2">
      <c r="A74" s="135" t="s">
        <v>200</v>
      </c>
      <c r="B74" s="135"/>
    </row>
    <row r="75" spans="1:2" ht="12.75" customHeight="1" x14ac:dyDescent="0.2">
      <c r="A75" s="135" t="s">
        <v>201</v>
      </c>
      <c r="B75" s="135"/>
    </row>
    <row r="76" spans="1:2" ht="12.75" customHeight="1" x14ac:dyDescent="0.2">
      <c r="A76" s="135" t="s">
        <v>202</v>
      </c>
      <c r="B76" s="135"/>
    </row>
    <row r="77" spans="1:2" x14ac:dyDescent="0.2">
      <c r="A77" s="135" t="s">
        <v>203</v>
      </c>
    </row>
    <row r="78" spans="1:2" x14ac:dyDescent="0.2">
      <c r="A78" s="135" t="s">
        <v>204</v>
      </c>
      <c r="B78" s="135"/>
    </row>
    <row r="79" spans="1:2" ht="12.75" customHeight="1" x14ac:dyDescent="0.2">
      <c r="A79" s="135" t="s">
        <v>205</v>
      </c>
      <c r="B79" s="135"/>
    </row>
    <row r="80" spans="1:2" ht="12.75" customHeight="1" x14ac:dyDescent="0.2">
      <c r="A80" s="135" t="s">
        <v>206</v>
      </c>
      <c r="B80" s="135"/>
    </row>
    <row r="81" spans="1:2" ht="12.75" customHeight="1" x14ac:dyDescent="0.2">
      <c r="A81" s="135" t="s">
        <v>207</v>
      </c>
      <c r="B81" s="135"/>
    </row>
    <row r="82" spans="1:2" ht="12.75" customHeight="1" x14ac:dyDescent="0.2">
      <c r="A82" s="135" t="s">
        <v>208</v>
      </c>
      <c r="B82" s="135"/>
    </row>
    <row r="83" spans="1:2" ht="15.75" customHeight="1" x14ac:dyDescent="0.2">
      <c r="A83" s="157"/>
      <c r="B83" s="157"/>
    </row>
    <row r="84" spans="1:2" ht="19.5" customHeight="1" x14ac:dyDescent="0.2">
      <c r="A84" s="159" t="s">
        <v>209</v>
      </c>
      <c r="B84" s="159"/>
    </row>
    <row r="85" spans="1:2" ht="51" customHeight="1" x14ac:dyDescent="0.2">
      <c r="A85" s="157" t="s">
        <v>210</v>
      </c>
      <c r="B85" s="157"/>
    </row>
    <row r="86" spans="1:2" ht="15.75" customHeight="1" x14ac:dyDescent="0.2">
      <c r="A86" s="132"/>
      <c r="B86" s="128"/>
    </row>
    <row r="87" spans="1:2" ht="19.5" customHeight="1" x14ac:dyDescent="0.2">
      <c r="A87" s="159" t="s">
        <v>211</v>
      </c>
      <c r="B87" s="159"/>
    </row>
    <row r="88" spans="1:2" x14ac:dyDescent="0.2">
      <c r="A88" s="160" t="s">
        <v>212</v>
      </c>
      <c r="B88" s="157"/>
    </row>
    <row r="89" spans="1:2" ht="9" customHeight="1" x14ac:dyDescent="0.2">
      <c r="A89" s="133"/>
      <c r="B89" s="129"/>
    </row>
    <row r="90" spans="1:2" ht="25.5" customHeight="1" x14ac:dyDescent="0.2">
      <c r="A90" s="160" t="s">
        <v>213</v>
      </c>
      <c r="B90" s="157"/>
    </row>
    <row r="91" spans="1:2" ht="15.75" customHeight="1" x14ac:dyDescent="0.2"/>
    <row r="92" spans="1:2" ht="19.5" customHeight="1" x14ac:dyDescent="0.2">
      <c r="A92" s="159" t="s">
        <v>214</v>
      </c>
      <c r="B92" s="159"/>
    </row>
    <row r="93" spans="1:2" ht="89.25" customHeight="1" x14ac:dyDescent="0.2">
      <c r="A93" s="157" t="s">
        <v>215</v>
      </c>
      <c r="B93" s="157"/>
    </row>
    <row r="94" spans="1:2" ht="9" customHeight="1" x14ac:dyDescent="0.2">
      <c r="A94" s="132"/>
      <c r="B94" s="128"/>
    </row>
    <row r="95" spans="1:2" ht="25.5" customHeight="1" x14ac:dyDescent="0.2">
      <c r="A95" s="157" t="s">
        <v>216</v>
      </c>
      <c r="B95" s="157"/>
    </row>
    <row r="96" spans="1:2" ht="15.75" customHeight="1" x14ac:dyDescent="0.2">
      <c r="A96" s="132"/>
      <c r="B96" s="128"/>
    </row>
    <row r="97" spans="1:2" ht="19.5" customHeight="1" x14ac:dyDescent="0.2">
      <c r="A97" s="159" t="s">
        <v>217</v>
      </c>
      <c r="B97" s="159"/>
    </row>
    <row r="98" spans="1:2" ht="51" customHeight="1" x14ac:dyDescent="0.2">
      <c r="A98" s="157" t="s">
        <v>218</v>
      </c>
      <c r="B98" s="157"/>
    </row>
    <row r="99" spans="1:2" ht="9" customHeight="1" x14ac:dyDescent="0.2">
      <c r="A99" s="132"/>
      <c r="B99" s="128"/>
    </row>
    <row r="100" spans="1:2" ht="51" customHeight="1" x14ac:dyDescent="0.2">
      <c r="A100" s="157" t="s">
        <v>219</v>
      </c>
      <c r="B100" s="157"/>
    </row>
    <row r="101" spans="1:2" ht="9" customHeight="1" x14ac:dyDescent="0.2">
      <c r="A101" s="157"/>
      <c r="B101" s="157"/>
    </row>
    <row r="102" spans="1:2" ht="63.75" customHeight="1" x14ac:dyDescent="0.2">
      <c r="A102" s="157" t="s">
        <v>220</v>
      </c>
      <c r="B102" s="157"/>
    </row>
    <row r="103" spans="1:2" ht="9" customHeight="1" x14ac:dyDescent="0.2">
      <c r="A103" s="129"/>
      <c r="B103" s="129"/>
    </row>
    <row r="104" spans="1:2" ht="25.5" customHeight="1" x14ac:dyDescent="0.2">
      <c r="A104" s="158" t="s">
        <v>221</v>
      </c>
      <c r="B104" s="158"/>
    </row>
    <row r="105" spans="1:2" ht="9" customHeight="1" x14ac:dyDescent="0.2">
      <c r="A105" s="132"/>
      <c r="B105" s="128"/>
    </row>
    <row r="106" spans="1:2" ht="38.25" customHeight="1" x14ac:dyDescent="0.2">
      <c r="A106" s="158" t="s">
        <v>222</v>
      </c>
      <c r="B106" s="158"/>
    </row>
  </sheetData>
  <sheetProtection sheet="1" objects="1" scenarios="1"/>
  <mergeCells count="35">
    <mergeCell ref="A3:B3"/>
    <mergeCell ref="A28:B28"/>
    <mergeCell ref="A39:B39"/>
    <mergeCell ref="A40:B40"/>
    <mergeCell ref="A42:B42"/>
    <mergeCell ref="A43:B43"/>
    <mergeCell ref="A45:B45"/>
    <mergeCell ref="A47:B47"/>
    <mergeCell ref="A48:B48"/>
    <mergeCell ref="A50:B50"/>
    <mergeCell ref="A52:B52"/>
    <mergeCell ref="A53:B53"/>
    <mergeCell ref="A55:B55"/>
    <mergeCell ref="A57:B57"/>
    <mergeCell ref="A58:B58"/>
    <mergeCell ref="A60:B60"/>
    <mergeCell ref="A61:B61"/>
    <mergeCell ref="A63:B63"/>
    <mergeCell ref="A98:B98"/>
    <mergeCell ref="A65:B65"/>
    <mergeCell ref="A83:B83"/>
    <mergeCell ref="A84:B84"/>
    <mergeCell ref="A85:B85"/>
    <mergeCell ref="A87:B87"/>
    <mergeCell ref="A88:B88"/>
    <mergeCell ref="A90:B90"/>
    <mergeCell ref="A92:B92"/>
    <mergeCell ref="A93:B93"/>
    <mergeCell ref="A95:B95"/>
    <mergeCell ref="A97:B97"/>
    <mergeCell ref="A100:B100"/>
    <mergeCell ref="A101:B101"/>
    <mergeCell ref="A102:B102"/>
    <mergeCell ref="A104:B104"/>
    <mergeCell ref="A106:B106"/>
  </mergeCells>
  <pageMargins left="0.75" right="0.75" top="1" bottom="1" header="0.5" footer="0.5"/>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57"/>
  <sheetViews>
    <sheetView zoomScaleNormal="100" workbookViewId="0"/>
  </sheetViews>
  <sheetFormatPr defaultRowHeight="12.75" x14ac:dyDescent="0.2"/>
  <cols>
    <col min="1" max="1" width="21.28515625" customWidth="1"/>
    <col min="4" max="4" width="8.42578125" bestFit="1" customWidth="1"/>
    <col min="5" max="5" width="7.7109375" bestFit="1" customWidth="1"/>
    <col min="7" max="7" width="7.7109375" bestFit="1" customWidth="1"/>
    <col min="9" max="9" width="7.7109375" bestFit="1" customWidth="1"/>
    <col min="11" max="11" width="7.7109375" bestFit="1" customWidth="1"/>
    <col min="12" max="12" width="12.140625" customWidth="1"/>
    <col min="13" max="13" width="13" customWidth="1"/>
    <col min="14" max="14" width="11.7109375" customWidth="1"/>
  </cols>
  <sheetData>
    <row r="1" spans="1:16" ht="16.5" x14ac:dyDescent="0.2">
      <c r="A1" s="76" t="s">
        <v>101</v>
      </c>
    </row>
    <row r="3" spans="1:16" ht="28.5" customHeight="1" x14ac:dyDescent="0.2">
      <c r="A3" s="171" t="s">
        <v>38</v>
      </c>
      <c r="B3" s="170" t="s">
        <v>36</v>
      </c>
      <c r="C3" s="170"/>
      <c r="D3" s="173" t="s">
        <v>90</v>
      </c>
      <c r="E3" s="174"/>
      <c r="F3" s="170" t="s">
        <v>35</v>
      </c>
      <c r="G3" s="170"/>
      <c r="H3" s="170" t="s">
        <v>91</v>
      </c>
      <c r="I3" s="170"/>
      <c r="J3" s="170" t="s">
        <v>70</v>
      </c>
      <c r="K3" s="170"/>
      <c r="L3" s="93" t="s">
        <v>92</v>
      </c>
      <c r="M3" s="93" t="s">
        <v>71</v>
      </c>
      <c r="N3" s="93" t="s">
        <v>34</v>
      </c>
      <c r="O3" s="5"/>
    </row>
    <row r="4" spans="1:16" x14ac:dyDescent="0.2">
      <c r="A4" s="171"/>
      <c r="B4" s="3" t="s">
        <v>59</v>
      </c>
      <c r="C4" s="3" t="s">
        <v>57</v>
      </c>
      <c r="D4" s="3" t="s">
        <v>69</v>
      </c>
      <c r="E4" s="3" t="s">
        <v>57</v>
      </c>
      <c r="F4" s="3" t="s">
        <v>58</v>
      </c>
      <c r="G4" s="3" t="s">
        <v>57</v>
      </c>
      <c r="H4" s="3" t="s">
        <v>58</v>
      </c>
      <c r="I4" s="3" t="s">
        <v>57</v>
      </c>
      <c r="J4" s="3" t="s">
        <v>58</v>
      </c>
      <c r="K4" s="3" t="s">
        <v>57</v>
      </c>
      <c r="L4" s="3" t="s">
        <v>57</v>
      </c>
      <c r="M4" s="3" t="s">
        <v>57</v>
      </c>
      <c r="N4" s="3" t="s">
        <v>57</v>
      </c>
      <c r="O4" s="5"/>
    </row>
    <row r="5" spans="1:16" x14ac:dyDescent="0.2">
      <c r="A5" s="172"/>
      <c r="B5" s="94" t="s">
        <v>60</v>
      </c>
      <c r="C5" s="94" t="s">
        <v>61</v>
      </c>
      <c r="D5" s="94" t="s">
        <v>62</v>
      </c>
      <c r="E5" s="94" t="s">
        <v>61</v>
      </c>
      <c r="F5" s="94" t="s">
        <v>63</v>
      </c>
      <c r="G5" s="94" t="s">
        <v>61</v>
      </c>
      <c r="H5" s="94" t="s">
        <v>63</v>
      </c>
      <c r="I5" s="94" t="s">
        <v>61</v>
      </c>
      <c r="J5" s="94" t="s">
        <v>64</v>
      </c>
      <c r="K5" s="94" t="s">
        <v>61</v>
      </c>
      <c r="L5" s="94" t="s">
        <v>61</v>
      </c>
      <c r="M5" s="94" t="s">
        <v>61</v>
      </c>
      <c r="N5" s="94" t="s">
        <v>61</v>
      </c>
      <c r="O5" s="5"/>
    </row>
    <row r="6" spans="1:16" x14ac:dyDescent="0.2">
      <c r="A6" s="5" t="s">
        <v>0</v>
      </c>
      <c r="B6" s="99">
        <v>2214</v>
      </c>
      <c r="C6" s="99">
        <v>2087</v>
      </c>
      <c r="D6" s="99">
        <v>5553</v>
      </c>
      <c r="E6" s="99">
        <v>7786</v>
      </c>
      <c r="F6" s="99">
        <v>30</v>
      </c>
      <c r="G6" s="99">
        <v>61</v>
      </c>
      <c r="H6" s="99">
        <v>174887.94899999999</v>
      </c>
      <c r="I6" s="99">
        <v>229762</v>
      </c>
      <c r="J6" s="99">
        <v>7643</v>
      </c>
      <c r="K6" s="99">
        <v>6737</v>
      </c>
      <c r="L6" s="99">
        <v>4259</v>
      </c>
      <c r="M6" s="99">
        <v>155304</v>
      </c>
      <c r="N6" s="99">
        <v>405997</v>
      </c>
      <c r="O6" s="100"/>
      <c r="P6" s="98"/>
    </row>
    <row r="7" spans="1:16" x14ac:dyDescent="0.2">
      <c r="A7" s="5" t="s">
        <v>1</v>
      </c>
      <c r="B7" s="99" t="s">
        <v>28</v>
      </c>
      <c r="C7" s="99" t="s">
        <v>28</v>
      </c>
      <c r="D7" s="99">
        <v>34</v>
      </c>
      <c r="E7" s="99">
        <v>209</v>
      </c>
      <c r="F7" s="99" t="s">
        <v>28</v>
      </c>
      <c r="G7" s="99" t="s">
        <v>28</v>
      </c>
      <c r="H7" s="99">
        <v>2565.489</v>
      </c>
      <c r="I7" s="99">
        <v>5913</v>
      </c>
      <c r="J7" s="99">
        <v>242</v>
      </c>
      <c r="K7" s="99">
        <v>504</v>
      </c>
      <c r="L7" s="99">
        <v>8</v>
      </c>
      <c r="M7" s="99">
        <v>249</v>
      </c>
      <c r="N7" s="99">
        <v>6883</v>
      </c>
      <c r="O7" s="100"/>
      <c r="P7" s="98"/>
    </row>
    <row r="8" spans="1:16" x14ac:dyDescent="0.2">
      <c r="A8" s="5" t="s">
        <v>2</v>
      </c>
      <c r="B8" s="99" t="s">
        <v>28</v>
      </c>
      <c r="C8" s="99" t="s">
        <v>28</v>
      </c>
      <c r="D8" s="99" t="s">
        <v>28</v>
      </c>
      <c r="E8" s="99" t="s">
        <v>28</v>
      </c>
      <c r="F8" s="99" t="s">
        <v>28</v>
      </c>
      <c r="G8" s="99" t="s">
        <v>28</v>
      </c>
      <c r="H8" s="99">
        <v>1363.269</v>
      </c>
      <c r="I8" s="99">
        <v>3874</v>
      </c>
      <c r="J8" s="99">
        <v>4642</v>
      </c>
      <c r="K8" s="99">
        <v>1618</v>
      </c>
      <c r="L8" s="99">
        <v>108</v>
      </c>
      <c r="M8" s="99">
        <v>4047</v>
      </c>
      <c r="N8" s="99">
        <v>9647</v>
      </c>
      <c r="O8" s="100"/>
      <c r="P8" s="98"/>
    </row>
    <row r="9" spans="1:16" x14ac:dyDescent="0.2">
      <c r="A9" s="5" t="s">
        <v>3</v>
      </c>
      <c r="B9" s="99" t="s">
        <v>28</v>
      </c>
      <c r="C9" s="99" t="s">
        <v>28</v>
      </c>
      <c r="D9" s="99">
        <v>295</v>
      </c>
      <c r="E9" s="99">
        <v>621</v>
      </c>
      <c r="F9" s="99" t="s">
        <v>28</v>
      </c>
      <c r="G9" s="99" t="s">
        <v>28</v>
      </c>
      <c r="H9" s="99">
        <v>30.076000000000001</v>
      </c>
      <c r="I9" s="99">
        <v>272</v>
      </c>
      <c r="J9" s="99">
        <v>859</v>
      </c>
      <c r="K9" s="99">
        <v>641</v>
      </c>
      <c r="L9" s="99">
        <v>60</v>
      </c>
      <c r="M9" s="99">
        <v>601</v>
      </c>
      <c r="N9" s="99">
        <v>2196</v>
      </c>
      <c r="O9" s="100"/>
      <c r="P9" s="98"/>
    </row>
    <row r="10" spans="1:16" x14ac:dyDescent="0.2">
      <c r="A10" s="5" t="s">
        <v>86</v>
      </c>
      <c r="B10" s="99" t="s">
        <v>28</v>
      </c>
      <c r="C10" s="99" t="s">
        <v>28</v>
      </c>
      <c r="D10" s="99">
        <v>18</v>
      </c>
      <c r="E10" s="99">
        <v>41</v>
      </c>
      <c r="F10" s="99" t="s">
        <v>28</v>
      </c>
      <c r="G10" s="99" t="s">
        <v>28</v>
      </c>
      <c r="H10" s="99">
        <v>1441.2739999999999</v>
      </c>
      <c r="I10" s="99">
        <v>6361</v>
      </c>
      <c r="J10" s="99">
        <v>26</v>
      </c>
      <c r="K10" s="99">
        <v>63</v>
      </c>
      <c r="L10" s="99">
        <v>714</v>
      </c>
      <c r="M10" s="99">
        <v>7012</v>
      </c>
      <c r="N10" s="99">
        <v>14191</v>
      </c>
      <c r="O10" s="100"/>
      <c r="P10" s="98"/>
    </row>
    <row r="11" spans="1:16" x14ac:dyDescent="0.2">
      <c r="A11" s="5" t="s">
        <v>4</v>
      </c>
      <c r="B11" s="99">
        <v>24</v>
      </c>
      <c r="C11" s="99">
        <v>33</v>
      </c>
      <c r="D11" s="99">
        <v>11047</v>
      </c>
      <c r="E11" s="99">
        <v>20935</v>
      </c>
      <c r="F11" s="99">
        <v>13074</v>
      </c>
      <c r="G11" s="99">
        <v>13817</v>
      </c>
      <c r="H11" s="99">
        <v>1943.885</v>
      </c>
      <c r="I11" s="99">
        <v>4520</v>
      </c>
      <c r="J11" s="99">
        <v>97</v>
      </c>
      <c r="K11" s="99">
        <v>384</v>
      </c>
      <c r="L11" s="99">
        <v>207</v>
      </c>
      <c r="M11" s="99">
        <v>3749</v>
      </c>
      <c r="N11" s="99">
        <v>43644</v>
      </c>
      <c r="O11" s="100"/>
      <c r="P11" s="98"/>
    </row>
    <row r="12" spans="1:16" x14ac:dyDescent="0.2">
      <c r="A12" s="5" t="s">
        <v>40</v>
      </c>
      <c r="B12" s="99">
        <v>4</v>
      </c>
      <c r="C12" s="99">
        <v>12</v>
      </c>
      <c r="D12" s="99">
        <v>441</v>
      </c>
      <c r="E12" s="99">
        <v>552</v>
      </c>
      <c r="F12" s="99" t="s">
        <v>28</v>
      </c>
      <c r="G12" s="99" t="s">
        <v>28</v>
      </c>
      <c r="H12" s="99">
        <v>29881.030999999999</v>
      </c>
      <c r="I12" s="99">
        <v>53875</v>
      </c>
      <c r="J12" s="99">
        <v>7337</v>
      </c>
      <c r="K12" s="99">
        <v>6207</v>
      </c>
      <c r="L12" s="99">
        <v>107235</v>
      </c>
      <c r="M12" s="99">
        <v>62601</v>
      </c>
      <c r="N12" s="99">
        <v>230482</v>
      </c>
      <c r="O12" s="100"/>
      <c r="P12" s="98"/>
    </row>
    <row r="13" spans="1:16" x14ac:dyDescent="0.2">
      <c r="A13" s="5" t="s">
        <v>5</v>
      </c>
      <c r="B13" s="99" t="s">
        <v>28</v>
      </c>
      <c r="C13" s="99" t="s">
        <v>28</v>
      </c>
      <c r="D13" s="99" t="s">
        <v>28</v>
      </c>
      <c r="E13" s="99" t="s">
        <v>28</v>
      </c>
      <c r="F13" s="99" t="s">
        <v>28</v>
      </c>
      <c r="G13" s="99" t="s">
        <v>28</v>
      </c>
      <c r="H13" s="99">
        <v>38.168999999999997</v>
      </c>
      <c r="I13" s="99">
        <v>94</v>
      </c>
      <c r="J13" s="99">
        <v>10</v>
      </c>
      <c r="K13" s="99">
        <v>15</v>
      </c>
      <c r="L13" s="99">
        <v>615</v>
      </c>
      <c r="M13" s="99">
        <v>4162</v>
      </c>
      <c r="N13" s="99">
        <v>4886</v>
      </c>
      <c r="O13" s="100"/>
      <c r="P13" s="98"/>
    </row>
    <row r="14" spans="1:16" x14ac:dyDescent="0.2">
      <c r="A14" s="5" t="s">
        <v>6</v>
      </c>
      <c r="B14" s="99">
        <v>61</v>
      </c>
      <c r="C14" s="99">
        <v>92</v>
      </c>
      <c r="D14" s="99">
        <v>1788</v>
      </c>
      <c r="E14" s="99">
        <v>1976</v>
      </c>
      <c r="F14" s="99" t="s">
        <v>28</v>
      </c>
      <c r="G14" s="99" t="s">
        <v>28</v>
      </c>
      <c r="H14" s="99" t="s">
        <v>28</v>
      </c>
      <c r="I14" s="99">
        <v>1</v>
      </c>
      <c r="J14" s="99">
        <v>344</v>
      </c>
      <c r="K14" s="99">
        <v>238</v>
      </c>
      <c r="L14" s="99">
        <v>130</v>
      </c>
      <c r="M14" s="99">
        <v>62</v>
      </c>
      <c r="N14" s="99">
        <v>2499</v>
      </c>
      <c r="O14" s="100"/>
      <c r="P14" s="98"/>
    </row>
    <row r="15" spans="1:16" x14ac:dyDescent="0.2">
      <c r="A15" s="5" t="s">
        <v>7</v>
      </c>
      <c r="B15" s="99" t="s">
        <v>28</v>
      </c>
      <c r="C15" s="99" t="s">
        <v>28</v>
      </c>
      <c r="D15" s="99">
        <v>14</v>
      </c>
      <c r="E15" s="99">
        <v>7</v>
      </c>
      <c r="F15" s="99" t="s">
        <v>28</v>
      </c>
      <c r="G15" s="99" t="s">
        <v>28</v>
      </c>
      <c r="H15" s="99">
        <v>17105.73</v>
      </c>
      <c r="I15" s="99">
        <v>31090</v>
      </c>
      <c r="J15" s="99">
        <v>145</v>
      </c>
      <c r="K15" s="99">
        <v>730</v>
      </c>
      <c r="L15" s="99">
        <v>36</v>
      </c>
      <c r="M15" s="99">
        <v>2081</v>
      </c>
      <c r="N15" s="99">
        <v>33943</v>
      </c>
      <c r="O15" s="100"/>
      <c r="P15" s="98"/>
    </row>
    <row r="16" spans="1:16" x14ac:dyDescent="0.2">
      <c r="A16" s="5" t="s">
        <v>8</v>
      </c>
      <c r="B16" s="99" t="s">
        <v>28</v>
      </c>
      <c r="C16" s="99" t="s">
        <v>28</v>
      </c>
      <c r="D16" s="99">
        <v>382</v>
      </c>
      <c r="E16" s="99">
        <v>765</v>
      </c>
      <c r="F16" s="99" t="s">
        <v>28</v>
      </c>
      <c r="G16" s="99" t="s">
        <v>28</v>
      </c>
      <c r="H16" s="99">
        <v>958.17100000000005</v>
      </c>
      <c r="I16" s="99">
        <v>4117</v>
      </c>
      <c r="J16" s="99">
        <v>18</v>
      </c>
      <c r="K16" s="99">
        <v>41</v>
      </c>
      <c r="L16" s="99">
        <v>763</v>
      </c>
      <c r="M16" s="99">
        <v>42386</v>
      </c>
      <c r="N16" s="99">
        <v>48072</v>
      </c>
      <c r="O16" s="100"/>
      <c r="P16" s="98"/>
    </row>
    <row r="17" spans="1:16" x14ac:dyDescent="0.2">
      <c r="A17" s="5" t="s">
        <v>9</v>
      </c>
      <c r="B17" s="99">
        <v>5</v>
      </c>
      <c r="C17" s="99">
        <v>10</v>
      </c>
      <c r="D17" s="99">
        <v>35</v>
      </c>
      <c r="E17" s="99">
        <v>59</v>
      </c>
      <c r="F17" s="99">
        <v>43</v>
      </c>
      <c r="G17" s="99">
        <v>113</v>
      </c>
      <c r="H17" s="99">
        <v>11496.736000000001</v>
      </c>
      <c r="I17" s="99">
        <v>31159</v>
      </c>
      <c r="J17" s="99">
        <v>1246</v>
      </c>
      <c r="K17" s="99">
        <v>1133</v>
      </c>
      <c r="L17" s="99">
        <v>3372</v>
      </c>
      <c r="M17" s="99">
        <v>31353</v>
      </c>
      <c r="N17" s="99">
        <v>67199</v>
      </c>
      <c r="O17" s="100"/>
      <c r="P17" s="98"/>
    </row>
    <row r="18" spans="1:16" x14ac:dyDescent="0.2">
      <c r="A18" s="5" t="s">
        <v>41</v>
      </c>
      <c r="B18" s="99" t="s">
        <v>28</v>
      </c>
      <c r="C18" s="99" t="s">
        <v>28</v>
      </c>
      <c r="D18" s="99" t="s">
        <v>28</v>
      </c>
      <c r="E18" s="99" t="s">
        <v>28</v>
      </c>
      <c r="F18" s="99" t="s">
        <v>28</v>
      </c>
      <c r="G18" s="99" t="s">
        <v>28</v>
      </c>
      <c r="H18" s="99">
        <v>29.047999999999998</v>
      </c>
      <c r="I18" s="99">
        <v>105</v>
      </c>
      <c r="J18" s="99" t="s">
        <v>28</v>
      </c>
      <c r="K18" s="99" t="s">
        <v>28</v>
      </c>
      <c r="L18" s="99">
        <v>224</v>
      </c>
      <c r="M18" s="99">
        <v>2698</v>
      </c>
      <c r="N18" s="99">
        <v>3027</v>
      </c>
      <c r="O18" s="100"/>
      <c r="P18" s="98"/>
    </row>
    <row r="19" spans="1:16" x14ac:dyDescent="0.2">
      <c r="A19" s="5" t="s">
        <v>10</v>
      </c>
      <c r="B19" s="99" t="s">
        <v>28</v>
      </c>
      <c r="C19" s="99" t="s">
        <v>28</v>
      </c>
      <c r="D19" s="99">
        <v>28</v>
      </c>
      <c r="E19" s="99">
        <v>346</v>
      </c>
      <c r="F19" s="99" t="s">
        <v>28</v>
      </c>
      <c r="G19" s="99" t="s">
        <v>28</v>
      </c>
      <c r="H19" s="99">
        <v>173.005</v>
      </c>
      <c r="I19" s="99">
        <v>460</v>
      </c>
      <c r="J19" s="99">
        <v>207</v>
      </c>
      <c r="K19" s="99">
        <v>310</v>
      </c>
      <c r="L19" s="99">
        <v>1645</v>
      </c>
      <c r="M19" s="99">
        <v>1692</v>
      </c>
      <c r="N19" s="99">
        <v>4452</v>
      </c>
      <c r="O19" s="100"/>
      <c r="P19" s="98"/>
    </row>
    <row r="20" spans="1:16" x14ac:dyDescent="0.2">
      <c r="A20" s="5" t="s">
        <v>11</v>
      </c>
      <c r="B20" s="99" t="s">
        <v>28</v>
      </c>
      <c r="C20" s="99" t="s">
        <v>28</v>
      </c>
      <c r="D20" s="99">
        <v>3721</v>
      </c>
      <c r="E20" s="99">
        <v>8279</v>
      </c>
      <c r="F20" s="99" t="s">
        <v>28</v>
      </c>
      <c r="G20" s="99" t="s">
        <v>28</v>
      </c>
      <c r="H20" s="99">
        <v>25370.457999999999</v>
      </c>
      <c r="I20" s="99">
        <v>41584</v>
      </c>
      <c r="J20" s="99">
        <v>998</v>
      </c>
      <c r="K20" s="99">
        <v>1770</v>
      </c>
      <c r="L20" s="99">
        <v>11298</v>
      </c>
      <c r="M20" s="99">
        <v>21931</v>
      </c>
      <c r="N20" s="99">
        <v>84862</v>
      </c>
      <c r="O20" s="100"/>
      <c r="P20" s="98"/>
    </row>
    <row r="21" spans="1:16" x14ac:dyDescent="0.2">
      <c r="A21" s="5" t="s">
        <v>12</v>
      </c>
      <c r="B21" s="99">
        <v>96</v>
      </c>
      <c r="C21" s="99">
        <v>232</v>
      </c>
      <c r="D21" s="99">
        <v>307</v>
      </c>
      <c r="E21" s="99">
        <v>707</v>
      </c>
      <c r="F21" s="99" t="s">
        <v>28</v>
      </c>
      <c r="G21" s="99" t="s">
        <v>28</v>
      </c>
      <c r="H21" s="99">
        <v>6709.8459999999995</v>
      </c>
      <c r="I21" s="99">
        <v>12186</v>
      </c>
      <c r="J21" s="99">
        <v>881</v>
      </c>
      <c r="K21" s="99">
        <v>3029</v>
      </c>
      <c r="L21" s="99">
        <v>6296</v>
      </c>
      <c r="M21" s="99">
        <v>7208</v>
      </c>
      <c r="N21" s="99">
        <v>29659</v>
      </c>
      <c r="O21" s="100"/>
      <c r="P21" s="98"/>
    </row>
    <row r="22" spans="1:16" x14ac:dyDescent="0.2">
      <c r="A22" s="5" t="s">
        <v>13</v>
      </c>
      <c r="B22" s="99" t="s">
        <v>28</v>
      </c>
      <c r="C22" s="99" t="s">
        <v>28</v>
      </c>
      <c r="D22" s="99" t="s">
        <v>28</v>
      </c>
      <c r="E22" s="99" t="s">
        <v>28</v>
      </c>
      <c r="F22" s="99" t="s">
        <v>28</v>
      </c>
      <c r="G22" s="99" t="s">
        <v>28</v>
      </c>
      <c r="H22" s="99">
        <v>55901.343000000001</v>
      </c>
      <c r="I22" s="99">
        <v>95323</v>
      </c>
      <c r="J22" s="99" t="s">
        <v>28</v>
      </c>
      <c r="K22" s="99">
        <v>2</v>
      </c>
      <c r="L22" s="99">
        <v>62</v>
      </c>
      <c r="M22" s="99">
        <v>1704</v>
      </c>
      <c r="N22" s="99">
        <v>97090</v>
      </c>
      <c r="O22" s="100"/>
      <c r="P22" s="98"/>
    </row>
    <row r="23" spans="1:16" x14ac:dyDescent="0.2">
      <c r="A23" s="5" t="s">
        <v>42</v>
      </c>
      <c r="B23" s="99" t="s">
        <v>28</v>
      </c>
      <c r="C23" s="99" t="s">
        <v>28</v>
      </c>
      <c r="D23" s="99" t="s">
        <v>28</v>
      </c>
      <c r="E23" s="99" t="s">
        <v>28</v>
      </c>
      <c r="F23" s="99" t="s">
        <v>28</v>
      </c>
      <c r="G23" s="99" t="s">
        <v>28</v>
      </c>
      <c r="H23" s="99">
        <v>19192.642</v>
      </c>
      <c r="I23" s="99">
        <v>30389</v>
      </c>
      <c r="J23" s="99">
        <v>1</v>
      </c>
      <c r="K23" s="99">
        <v>1</v>
      </c>
      <c r="L23" s="99">
        <v>346</v>
      </c>
      <c r="M23" s="99">
        <v>1927</v>
      </c>
      <c r="N23" s="99">
        <v>32664</v>
      </c>
      <c r="O23" s="100"/>
      <c r="P23" s="98"/>
    </row>
    <row r="24" spans="1:16" x14ac:dyDescent="0.2">
      <c r="A24" s="5" t="s">
        <v>14</v>
      </c>
      <c r="B24" s="99">
        <v>14</v>
      </c>
      <c r="C24" s="99">
        <v>26</v>
      </c>
      <c r="D24" s="99">
        <v>448</v>
      </c>
      <c r="E24" s="99">
        <v>954</v>
      </c>
      <c r="F24" s="99" t="s">
        <v>28</v>
      </c>
      <c r="G24" s="99" t="s">
        <v>28</v>
      </c>
      <c r="H24" s="99">
        <v>4558.1499999999996</v>
      </c>
      <c r="I24" s="99">
        <v>6414</v>
      </c>
      <c r="J24" s="99">
        <v>927</v>
      </c>
      <c r="K24" s="99">
        <v>2389</v>
      </c>
      <c r="L24" s="99">
        <v>23306</v>
      </c>
      <c r="M24" s="99">
        <v>18286</v>
      </c>
      <c r="N24" s="99">
        <v>51374</v>
      </c>
      <c r="O24" s="100"/>
      <c r="P24" s="98"/>
    </row>
    <row r="25" spans="1:16" x14ac:dyDescent="0.2">
      <c r="A25" s="5" t="s">
        <v>15</v>
      </c>
      <c r="B25" s="99" t="s">
        <v>28</v>
      </c>
      <c r="C25" s="99" t="s">
        <v>28</v>
      </c>
      <c r="D25" s="99" t="s">
        <v>28</v>
      </c>
      <c r="E25" s="99" t="s">
        <v>28</v>
      </c>
      <c r="F25" s="99" t="s">
        <v>28</v>
      </c>
      <c r="G25" s="99" t="s">
        <v>28</v>
      </c>
      <c r="H25" s="99">
        <v>0.22600000000000001</v>
      </c>
      <c r="I25" s="99">
        <v>91</v>
      </c>
      <c r="J25" s="99">
        <v>10</v>
      </c>
      <c r="K25" s="99">
        <v>29</v>
      </c>
      <c r="L25" s="99">
        <v>29</v>
      </c>
      <c r="M25" s="99">
        <v>2891</v>
      </c>
      <c r="N25" s="99">
        <v>3040</v>
      </c>
      <c r="O25" s="100"/>
      <c r="P25" s="98"/>
    </row>
    <row r="26" spans="1:16" x14ac:dyDescent="0.2">
      <c r="A26" s="5" t="s">
        <v>16</v>
      </c>
      <c r="B26" s="99" t="s">
        <v>28</v>
      </c>
      <c r="C26" s="99" t="s">
        <v>28</v>
      </c>
      <c r="D26" s="99">
        <v>144</v>
      </c>
      <c r="E26" s="99">
        <v>16</v>
      </c>
      <c r="F26" s="99" t="s">
        <v>28</v>
      </c>
      <c r="G26" s="99" t="s">
        <v>28</v>
      </c>
      <c r="H26" s="99">
        <v>425.572</v>
      </c>
      <c r="I26" s="99">
        <v>1493</v>
      </c>
      <c r="J26" s="99">
        <v>3</v>
      </c>
      <c r="K26" s="99">
        <v>15</v>
      </c>
      <c r="L26" s="99">
        <v>267</v>
      </c>
      <c r="M26" s="99">
        <v>3437</v>
      </c>
      <c r="N26" s="99">
        <v>5226</v>
      </c>
      <c r="O26" s="100"/>
      <c r="P26" s="98"/>
    </row>
    <row r="27" spans="1:16" x14ac:dyDescent="0.2">
      <c r="A27" s="5" t="s">
        <v>17</v>
      </c>
      <c r="B27" s="99" t="s">
        <v>28</v>
      </c>
      <c r="C27" s="99" t="s">
        <v>28</v>
      </c>
      <c r="D27" s="99" t="s">
        <v>28</v>
      </c>
      <c r="E27" s="99" t="s">
        <v>28</v>
      </c>
      <c r="F27" s="99" t="s">
        <v>28</v>
      </c>
      <c r="G27" s="99" t="s">
        <v>28</v>
      </c>
      <c r="H27" s="99">
        <v>73.346999999999994</v>
      </c>
      <c r="I27" s="99">
        <v>272</v>
      </c>
      <c r="J27" s="99" t="s">
        <v>28</v>
      </c>
      <c r="K27" s="99" t="s">
        <v>28</v>
      </c>
      <c r="L27" s="99">
        <v>1788</v>
      </c>
      <c r="M27" s="99">
        <v>155</v>
      </c>
      <c r="N27" s="99">
        <v>2215</v>
      </c>
      <c r="O27" s="100"/>
      <c r="P27" s="98"/>
    </row>
    <row r="28" spans="1:16" x14ac:dyDescent="0.2">
      <c r="A28" s="5" t="s">
        <v>18</v>
      </c>
      <c r="B28" s="99" t="s">
        <v>28</v>
      </c>
      <c r="C28" s="99" t="s">
        <v>28</v>
      </c>
      <c r="D28" s="99">
        <v>2054</v>
      </c>
      <c r="E28" s="99">
        <v>2362</v>
      </c>
      <c r="F28" s="99" t="s">
        <v>28</v>
      </c>
      <c r="G28" s="99" t="s">
        <v>28</v>
      </c>
      <c r="H28" s="99" t="s">
        <v>28</v>
      </c>
      <c r="I28" s="99" t="s">
        <v>28</v>
      </c>
      <c r="J28" s="99">
        <v>39</v>
      </c>
      <c r="K28" s="99">
        <v>423</v>
      </c>
      <c r="L28" s="99" t="s">
        <v>28</v>
      </c>
      <c r="M28" s="99">
        <v>5</v>
      </c>
      <c r="N28" s="99">
        <v>2790</v>
      </c>
      <c r="O28" s="100"/>
      <c r="P28" s="98"/>
    </row>
    <row r="29" spans="1:16" x14ac:dyDescent="0.2">
      <c r="A29" s="5" t="s">
        <v>19</v>
      </c>
      <c r="B29" s="99" t="s">
        <v>28</v>
      </c>
      <c r="C29" s="99" t="s">
        <v>28</v>
      </c>
      <c r="D29" s="99" t="s">
        <v>28</v>
      </c>
      <c r="E29" s="99" t="s">
        <v>28</v>
      </c>
      <c r="F29" s="99" t="s">
        <v>28</v>
      </c>
      <c r="G29" s="99" t="s">
        <v>28</v>
      </c>
      <c r="H29" s="99" t="s">
        <v>28</v>
      </c>
      <c r="I29" s="99" t="s">
        <v>28</v>
      </c>
      <c r="J29" s="99" t="s">
        <v>28</v>
      </c>
      <c r="K29" s="99" t="s">
        <v>28</v>
      </c>
      <c r="L29" s="99">
        <v>145</v>
      </c>
      <c r="M29" s="99">
        <v>367</v>
      </c>
      <c r="N29" s="99">
        <v>512</v>
      </c>
      <c r="O29" s="100"/>
      <c r="P29" s="98"/>
    </row>
    <row r="30" spans="1:16" x14ac:dyDescent="0.2">
      <c r="A30" s="5" t="s">
        <v>20</v>
      </c>
      <c r="B30" s="99" t="s">
        <v>28</v>
      </c>
      <c r="C30" s="99" t="s">
        <v>28</v>
      </c>
      <c r="D30" s="99" t="s">
        <v>28</v>
      </c>
      <c r="E30" s="99" t="s">
        <v>28</v>
      </c>
      <c r="F30" s="99" t="s">
        <v>28</v>
      </c>
      <c r="G30" s="99" t="s">
        <v>28</v>
      </c>
      <c r="H30" s="99">
        <v>376.99099999999999</v>
      </c>
      <c r="I30" s="99">
        <v>746</v>
      </c>
      <c r="J30" s="99">
        <v>387</v>
      </c>
      <c r="K30" s="99">
        <v>40</v>
      </c>
      <c r="L30" s="99" t="s">
        <v>28</v>
      </c>
      <c r="M30" s="99">
        <v>2669</v>
      </c>
      <c r="N30" s="99">
        <v>3455</v>
      </c>
      <c r="O30" s="100"/>
      <c r="P30" s="98"/>
    </row>
    <row r="31" spans="1:16" x14ac:dyDescent="0.2">
      <c r="A31" s="5" t="s">
        <v>21</v>
      </c>
      <c r="B31" s="99" t="s">
        <v>28</v>
      </c>
      <c r="C31" s="99" t="s">
        <v>28</v>
      </c>
      <c r="D31" s="99">
        <v>53</v>
      </c>
      <c r="E31" s="99">
        <v>309</v>
      </c>
      <c r="F31" s="99" t="s">
        <v>28</v>
      </c>
      <c r="G31" s="99" t="s">
        <v>28</v>
      </c>
      <c r="H31" s="99">
        <v>4305.5640000000003</v>
      </c>
      <c r="I31" s="99">
        <v>24450</v>
      </c>
      <c r="J31" s="99">
        <v>123</v>
      </c>
      <c r="K31" s="99">
        <v>94</v>
      </c>
      <c r="L31" s="99">
        <v>195</v>
      </c>
      <c r="M31" s="99">
        <v>7585</v>
      </c>
      <c r="N31" s="99">
        <v>32631</v>
      </c>
      <c r="O31" s="100"/>
      <c r="P31" s="98"/>
    </row>
    <row r="32" spans="1:16" x14ac:dyDescent="0.2">
      <c r="A32" s="5" t="s">
        <v>22</v>
      </c>
      <c r="B32" s="99" t="s">
        <v>28</v>
      </c>
      <c r="C32" s="99" t="s">
        <v>28</v>
      </c>
      <c r="D32" s="99" t="s">
        <v>28</v>
      </c>
      <c r="E32" s="99" t="s">
        <v>28</v>
      </c>
      <c r="F32" s="99" t="s">
        <v>28</v>
      </c>
      <c r="G32" s="99" t="s">
        <v>28</v>
      </c>
      <c r="H32" s="99">
        <v>22874.944</v>
      </c>
      <c r="I32" s="99">
        <v>35207</v>
      </c>
      <c r="J32" s="99">
        <v>2096</v>
      </c>
      <c r="K32" s="99">
        <v>1079</v>
      </c>
      <c r="L32" s="99">
        <v>187</v>
      </c>
      <c r="M32" s="99">
        <v>511</v>
      </c>
      <c r="N32" s="99">
        <v>36984</v>
      </c>
      <c r="O32" s="100"/>
      <c r="P32" s="98"/>
    </row>
    <row r="33" spans="1:16" x14ac:dyDescent="0.2">
      <c r="A33" s="5" t="s">
        <v>23</v>
      </c>
      <c r="B33" s="99" t="s">
        <v>28</v>
      </c>
      <c r="C33" s="99" t="s">
        <v>28</v>
      </c>
      <c r="D33" s="99" t="s">
        <v>28</v>
      </c>
      <c r="E33" s="99" t="s">
        <v>28</v>
      </c>
      <c r="F33" s="99" t="s">
        <v>28</v>
      </c>
      <c r="G33" s="99" t="s">
        <v>28</v>
      </c>
      <c r="H33" s="99">
        <v>693.62400000000002</v>
      </c>
      <c r="I33" s="99">
        <v>3934</v>
      </c>
      <c r="J33" s="99">
        <v>79</v>
      </c>
      <c r="K33" s="99">
        <v>138</v>
      </c>
      <c r="L33" s="99">
        <v>45</v>
      </c>
      <c r="M33" s="99">
        <v>1394</v>
      </c>
      <c r="N33" s="99">
        <v>5511</v>
      </c>
      <c r="O33" s="100"/>
      <c r="P33" s="98"/>
    </row>
    <row r="34" spans="1:16" x14ac:dyDescent="0.2">
      <c r="A34" s="5" t="s">
        <v>24</v>
      </c>
      <c r="B34" s="99" t="s">
        <v>28</v>
      </c>
      <c r="C34" s="99" t="s">
        <v>28</v>
      </c>
      <c r="D34" s="99" t="s">
        <v>28</v>
      </c>
      <c r="E34" s="99" t="s">
        <v>28</v>
      </c>
      <c r="F34" s="99" t="s">
        <v>28</v>
      </c>
      <c r="G34" s="99" t="s">
        <v>28</v>
      </c>
      <c r="H34" s="99">
        <v>2021.8689999999999</v>
      </c>
      <c r="I34" s="99">
        <v>5094</v>
      </c>
      <c r="J34" s="99">
        <v>1581</v>
      </c>
      <c r="K34" s="99">
        <v>376</v>
      </c>
      <c r="L34" s="99">
        <v>193</v>
      </c>
      <c r="M34" s="99">
        <v>4540</v>
      </c>
      <c r="N34" s="99">
        <v>10203</v>
      </c>
      <c r="O34" s="100"/>
      <c r="P34" s="98"/>
    </row>
    <row r="35" spans="1:16" x14ac:dyDescent="0.2">
      <c r="A35" s="5" t="s">
        <v>25</v>
      </c>
      <c r="B35" s="99" t="s">
        <v>28</v>
      </c>
      <c r="C35" s="99" t="s">
        <v>28</v>
      </c>
      <c r="D35" s="99" t="s">
        <v>28</v>
      </c>
      <c r="E35" s="99" t="s">
        <v>28</v>
      </c>
      <c r="F35" s="99" t="s">
        <v>28</v>
      </c>
      <c r="G35" s="99" t="s">
        <v>28</v>
      </c>
      <c r="H35" s="99">
        <v>58.057000000000002</v>
      </c>
      <c r="I35" s="99">
        <v>1128</v>
      </c>
      <c r="J35" s="99" t="s">
        <v>28</v>
      </c>
      <c r="K35" s="99" t="s">
        <v>28</v>
      </c>
      <c r="L35" s="99">
        <v>349</v>
      </c>
      <c r="M35" s="99">
        <v>208</v>
      </c>
      <c r="N35" s="99">
        <v>1686</v>
      </c>
      <c r="O35" s="100"/>
      <c r="P35" s="98"/>
    </row>
    <row r="36" spans="1:16" x14ac:dyDescent="0.2">
      <c r="A36" s="5" t="s">
        <v>26</v>
      </c>
      <c r="B36" s="99" t="s">
        <v>28</v>
      </c>
      <c r="C36" s="99" t="s">
        <v>28</v>
      </c>
      <c r="D36" s="99">
        <v>11</v>
      </c>
      <c r="E36" s="99">
        <v>13</v>
      </c>
      <c r="F36" s="99" t="s">
        <v>28</v>
      </c>
      <c r="G36" s="99" t="s">
        <v>28</v>
      </c>
      <c r="H36" s="99">
        <v>3565.5729999999999</v>
      </c>
      <c r="I36" s="99">
        <v>6809</v>
      </c>
      <c r="J36" s="99">
        <v>879</v>
      </c>
      <c r="K36" s="99">
        <v>869</v>
      </c>
      <c r="L36" s="99">
        <v>5808</v>
      </c>
      <c r="M36" s="99">
        <v>6321</v>
      </c>
      <c r="N36" s="99">
        <v>19821</v>
      </c>
      <c r="O36" s="100"/>
      <c r="P36" s="98"/>
    </row>
    <row r="37" spans="1:16" x14ac:dyDescent="0.2">
      <c r="A37" s="5" t="s">
        <v>45</v>
      </c>
      <c r="B37" s="99">
        <v>329</v>
      </c>
      <c r="C37" s="99">
        <v>512</v>
      </c>
      <c r="D37" s="99">
        <v>3632</v>
      </c>
      <c r="E37" s="99">
        <v>4260</v>
      </c>
      <c r="F37" s="99">
        <v>4687</v>
      </c>
      <c r="G37" s="99">
        <v>5408</v>
      </c>
      <c r="H37" s="99">
        <v>18134.896000000001</v>
      </c>
      <c r="I37" s="99">
        <v>35173</v>
      </c>
      <c r="J37" s="99">
        <v>1930</v>
      </c>
      <c r="K37" s="99">
        <v>3153</v>
      </c>
      <c r="L37" s="99">
        <v>1446</v>
      </c>
      <c r="M37" s="99">
        <v>31189</v>
      </c>
      <c r="N37" s="99">
        <v>81139</v>
      </c>
      <c r="O37" s="100"/>
      <c r="P37" s="98"/>
    </row>
    <row r="38" spans="1:16" x14ac:dyDescent="0.2">
      <c r="A38" s="5" t="s">
        <v>46</v>
      </c>
      <c r="B38" s="99" t="s">
        <v>28</v>
      </c>
      <c r="C38" s="99" t="s">
        <v>28</v>
      </c>
      <c r="D38" s="99">
        <v>3</v>
      </c>
      <c r="E38" s="99">
        <v>6</v>
      </c>
      <c r="F38" s="99" t="s">
        <v>28</v>
      </c>
      <c r="G38" s="99" t="s">
        <v>28</v>
      </c>
      <c r="H38" s="99" t="s">
        <v>28</v>
      </c>
      <c r="I38" s="99">
        <v>16</v>
      </c>
      <c r="J38" s="99" t="s">
        <v>28</v>
      </c>
      <c r="K38" s="99" t="s">
        <v>28</v>
      </c>
      <c r="L38" s="99">
        <v>25735</v>
      </c>
      <c r="M38" s="99">
        <v>6163</v>
      </c>
      <c r="N38" s="99">
        <v>31919</v>
      </c>
      <c r="O38" s="100"/>
      <c r="P38" s="98"/>
    </row>
    <row r="39" spans="1:16" x14ac:dyDescent="0.2">
      <c r="A39" s="5" t="s">
        <v>93</v>
      </c>
      <c r="B39" s="99">
        <v>947</v>
      </c>
      <c r="C39" s="99">
        <v>1100</v>
      </c>
      <c r="D39" s="99">
        <v>8684</v>
      </c>
      <c r="E39" s="99">
        <v>13466</v>
      </c>
      <c r="F39" s="99" t="s">
        <v>28</v>
      </c>
      <c r="G39" s="99">
        <v>2</v>
      </c>
      <c r="H39" s="99">
        <v>941.33100000000002</v>
      </c>
      <c r="I39" s="99">
        <v>2976</v>
      </c>
      <c r="J39" s="99">
        <v>5593</v>
      </c>
      <c r="K39" s="99">
        <v>4430</v>
      </c>
      <c r="L39" s="99">
        <v>2622</v>
      </c>
      <c r="M39" s="99">
        <v>23181</v>
      </c>
      <c r="N39" s="99">
        <v>47777</v>
      </c>
      <c r="O39" s="100"/>
      <c r="P39" s="98"/>
    </row>
    <row r="40" spans="1:16" x14ac:dyDescent="0.2">
      <c r="A40" s="85" t="s">
        <v>27</v>
      </c>
      <c r="B40" s="101">
        <v>3694</v>
      </c>
      <c r="C40" s="101">
        <v>4102</v>
      </c>
      <c r="D40" s="101">
        <v>38691</v>
      </c>
      <c r="E40" s="101">
        <v>63668</v>
      </c>
      <c r="F40" s="101">
        <v>17834</v>
      </c>
      <c r="G40" s="101">
        <v>19401</v>
      </c>
      <c r="H40" s="101">
        <v>407118.85600000003</v>
      </c>
      <c r="I40" s="101">
        <v>674889</v>
      </c>
      <c r="J40" s="101">
        <v>38347</v>
      </c>
      <c r="K40" s="101">
        <v>36458</v>
      </c>
      <c r="L40" s="101">
        <v>199491</v>
      </c>
      <c r="M40" s="101">
        <v>459669</v>
      </c>
      <c r="N40" s="101">
        <v>1457679</v>
      </c>
      <c r="O40" s="100"/>
      <c r="P40" s="98"/>
    </row>
    <row r="41" spans="1:16" x14ac:dyDescent="0.2">
      <c r="A41" s="3"/>
      <c r="B41" s="104"/>
      <c r="C41" s="104"/>
      <c r="D41" s="104"/>
      <c r="E41" s="104"/>
      <c r="F41" s="104"/>
      <c r="G41" s="104"/>
      <c r="H41" s="104"/>
      <c r="I41" s="104"/>
      <c r="J41" s="104"/>
      <c r="K41" s="104"/>
      <c r="L41" s="104"/>
      <c r="M41" s="104"/>
      <c r="N41" s="104"/>
      <c r="O41" s="100"/>
      <c r="P41" s="98"/>
    </row>
    <row r="42" spans="1:16" x14ac:dyDescent="0.2">
      <c r="A42" s="79" t="s">
        <v>48</v>
      </c>
      <c r="B42" s="5"/>
      <c r="C42" s="5"/>
      <c r="D42" s="5"/>
      <c r="E42" s="5"/>
      <c r="F42" s="5"/>
      <c r="G42" s="5"/>
      <c r="H42" s="5"/>
      <c r="I42" s="5"/>
      <c r="J42" s="5"/>
      <c r="K42" s="5"/>
      <c r="L42" s="5"/>
      <c r="M42" s="5"/>
      <c r="N42" s="5"/>
      <c r="O42" s="5"/>
    </row>
    <row r="43" spans="1:16" x14ac:dyDescent="0.2">
      <c r="A43" s="80" t="s">
        <v>102</v>
      </c>
      <c r="B43" s="5"/>
      <c r="C43" s="5"/>
      <c r="D43" s="5"/>
      <c r="E43" s="5"/>
      <c r="F43" s="5"/>
      <c r="G43" s="5"/>
      <c r="H43" s="5"/>
      <c r="I43" s="5"/>
      <c r="J43" s="5"/>
      <c r="K43" s="5"/>
      <c r="L43" s="5"/>
      <c r="M43" s="5"/>
      <c r="N43" s="5"/>
      <c r="O43" s="5"/>
    </row>
    <row r="44" spans="1:16" x14ac:dyDescent="0.2">
      <c r="A44" s="80"/>
      <c r="B44" s="5"/>
      <c r="C44" s="5"/>
      <c r="D44" s="5"/>
      <c r="E44" s="5"/>
      <c r="F44" s="5"/>
      <c r="G44" s="5"/>
      <c r="H44" s="5"/>
      <c r="I44" s="5"/>
      <c r="J44" s="5"/>
      <c r="K44" s="5"/>
      <c r="L44" s="5"/>
      <c r="M44" s="5"/>
      <c r="N44" s="5"/>
      <c r="O44" s="5"/>
    </row>
    <row r="45" spans="1:16" x14ac:dyDescent="0.2">
      <c r="A45" s="3" t="s">
        <v>37</v>
      </c>
      <c r="B45" s="5"/>
      <c r="C45" s="5"/>
      <c r="D45" s="5"/>
      <c r="E45" s="5"/>
      <c r="F45" s="5"/>
      <c r="G45" s="5"/>
      <c r="H45" s="5"/>
      <c r="I45" s="5"/>
      <c r="J45" s="5"/>
      <c r="K45" s="5"/>
      <c r="L45" s="5"/>
      <c r="M45" s="5"/>
      <c r="N45" s="5"/>
      <c r="O45" s="5"/>
    </row>
    <row r="46" spans="1:16" x14ac:dyDescent="0.2">
      <c r="A46" s="4" t="s">
        <v>54</v>
      </c>
      <c r="B46" s="5"/>
      <c r="C46" s="5"/>
      <c r="D46" s="5"/>
      <c r="E46" s="5"/>
      <c r="F46" s="5"/>
      <c r="G46" s="5"/>
      <c r="H46" s="5"/>
      <c r="I46" s="5"/>
      <c r="J46" s="5"/>
      <c r="K46" s="5"/>
      <c r="L46" s="5"/>
      <c r="M46" s="5"/>
      <c r="N46" s="5"/>
      <c r="O46" s="5"/>
    </row>
    <row r="47" spans="1:16" x14ac:dyDescent="0.2">
      <c r="A47" s="4" t="s">
        <v>55</v>
      </c>
      <c r="B47" s="5"/>
      <c r="C47" s="5"/>
      <c r="D47" s="5"/>
      <c r="E47" s="5"/>
      <c r="F47" s="5"/>
      <c r="G47" s="5"/>
      <c r="H47" s="5"/>
      <c r="I47" s="5"/>
      <c r="J47" s="5"/>
      <c r="K47" s="5"/>
      <c r="L47" s="5"/>
      <c r="M47" s="5"/>
      <c r="N47" s="5"/>
      <c r="O47" s="5"/>
    </row>
    <row r="48" spans="1:16" x14ac:dyDescent="0.2">
      <c r="A48" s="4" t="s">
        <v>56</v>
      </c>
      <c r="B48" s="5"/>
      <c r="C48" s="5"/>
      <c r="D48" s="5"/>
      <c r="E48" s="5"/>
      <c r="F48" s="5"/>
      <c r="G48" s="5"/>
      <c r="H48" s="5"/>
      <c r="I48" s="5"/>
      <c r="J48" s="5"/>
      <c r="K48" s="5"/>
      <c r="L48" s="5"/>
      <c r="M48" s="5"/>
      <c r="N48" s="5"/>
      <c r="O48" s="5"/>
    </row>
    <row r="49" spans="1:1" x14ac:dyDescent="0.2">
      <c r="A49" s="4" t="s">
        <v>67</v>
      </c>
    </row>
    <row r="50" spans="1:1" x14ac:dyDescent="0.2">
      <c r="A50" s="4" t="s">
        <v>68</v>
      </c>
    </row>
    <row r="51" spans="1:1" x14ac:dyDescent="0.2">
      <c r="A51" s="4" t="s">
        <v>72</v>
      </c>
    </row>
    <row r="52" spans="1:1" x14ac:dyDescent="0.2">
      <c r="A52" s="4" t="s">
        <v>73</v>
      </c>
    </row>
    <row r="53" spans="1:1" x14ac:dyDescent="0.2">
      <c r="A53" s="4" t="s">
        <v>74</v>
      </c>
    </row>
    <row r="54" spans="1:1" x14ac:dyDescent="0.2">
      <c r="A54" s="82"/>
    </row>
    <row r="55" spans="1:1" x14ac:dyDescent="0.2">
      <c r="A55" s="3" t="s">
        <v>50</v>
      </c>
    </row>
    <row r="56" spans="1:1" x14ac:dyDescent="0.2">
      <c r="A56" s="102" t="s">
        <v>51</v>
      </c>
    </row>
    <row r="57" spans="1:1" x14ac:dyDescent="0.2">
      <c r="A57" s="81"/>
    </row>
  </sheetData>
  <mergeCells count="6">
    <mergeCell ref="H3:I3"/>
    <mergeCell ref="J3:K3"/>
    <mergeCell ref="A3:A5"/>
    <mergeCell ref="B3:C3"/>
    <mergeCell ref="D3:E3"/>
    <mergeCell ref="F3:G3"/>
  </mergeCells>
  <phoneticPr fontId="0" type="noConversion"/>
  <pageMargins left="0.4" right="0.22" top="0.22" bottom="0.19" header="0.16" footer="0.17"/>
  <pageSetup paperSize="9" scale="78"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57"/>
  <sheetViews>
    <sheetView workbookViewId="0"/>
  </sheetViews>
  <sheetFormatPr defaultRowHeight="12.75" x14ac:dyDescent="0.2"/>
  <cols>
    <col min="1" max="1" width="21.28515625" customWidth="1"/>
    <col min="4" max="4" width="8.42578125" bestFit="1" customWidth="1"/>
    <col min="5" max="5" width="7.7109375" bestFit="1" customWidth="1"/>
    <col min="7" max="7" width="7.7109375" bestFit="1" customWidth="1"/>
    <col min="9" max="9" width="7.7109375" bestFit="1" customWidth="1"/>
    <col min="11" max="11" width="7.7109375" bestFit="1" customWidth="1"/>
    <col min="12" max="12" width="12.140625" customWidth="1"/>
    <col min="13" max="13" width="13" customWidth="1"/>
    <col min="14" max="14" width="11.7109375" customWidth="1"/>
  </cols>
  <sheetData>
    <row r="1" spans="1:15" ht="16.5" x14ac:dyDescent="0.2">
      <c r="A1" s="76" t="s">
        <v>100</v>
      </c>
    </row>
    <row r="3" spans="1:15" ht="28.5" customHeight="1" x14ac:dyDescent="0.2">
      <c r="A3" s="171" t="s">
        <v>38</v>
      </c>
      <c r="B3" s="170" t="s">
        <v>36</v>
      </c>
      <c r="C3" s="170"/>
      <c r="D3" s="173" t="s">
        <v>90</v>
      </c>
      <c r="E3" s="174"/>
      <c r="F3" s="170" t="s">
        <v>35</v>
      </c>
      <c r="G3" s="170"/>
      <c r="H3" s="170" t="s">
        <v>91</v>
      </c>
      <c r="I3" s="170"/>
      <c r="J3" s="170" t="s">
        <v>70</v>
      </c>
      <c r="K3" s="170"/>
      <c r="L3" s="93" t="s">
        <v>92</v>
      </c>
      <c r="M3" s="93" t="s">
        <v>71</v>
      </c>
      <c r="N3" s="93" t="s">
        <v>34</v>
      </c>
    </row>
    <row r="4" spans="1:15" x14ac:dyDescent="0.2">
      <c r="A4" s="171"/>
      <c r="B4" s="3" t="s">
        <v>59</v>
      </c>
      <c r="C4" s="3" t="s">
        <v>57</v>
      </c>
      <c r="D4" s="3" t="s">
        <v>69</v>
      </c>
      <c r="E4" s="3" t="s">
        <v>57</v>
      </c>
      <c r="F4" s="3" t="s">
        <v>58</v>
      </c>
      <c r="G4" s="3" t="s">
        <v>57</v>
      </c>
      <c r="H4" s="3" t="s">
        <v>58</v>
      </c>
      <c r="I4" s="3" t="s">
        <v>57</v>
      </c>
      <c r="J4" s="3" t="s">
        <v>58</v>
      </c>
      <c r="K4" s="3" t="s">
        <v>57</v>
      </c>
      <c r="L4" s="3" t="s">
        <v>57</v>
      </c>
      <c r="M4" s="3" t="s">
        <v>57</v>
      </c>
      <c r="N4" s="3" t="s">
        <v>57</v>
      </c>
    </row>
    <row r="5" spans="1:15" x14ac:dyDescent="0.2">
      <c r="A5" s="172"/>
      <c r="B5" s="94" t="s">
        <v>87</v>
      </c>
      <c r="C5" s="94" t="s">
        <v>61</v>
      </c>
      <c r="D5" s="94" t="s">
        <v>88</v>
      </c>
      <c r="E5" s="94" t="s">
        <v>61</v>
      </c>
      <c r="F5" s="94" t="s">
        <v>63</v>
      </c>
      <c r="G5" s="94" t="s">
        <v>61</v>
      </c>
      <c r="H5" s="94" t="s">
        <v>63</v>
      </c>
      <c r="I5" s="94" t="s">
        <v>61</v>
      </c>
      <c r="J5" s="94" t="s">
        <v>89</v>
      </c>
      <c r="K5" s="94" t="s">
        <v>61</v>
      </c>
      <c r="L5" s="94" t="s">
        <v>61</v>
      </c>
      <c r="M5" s="94" t="s">
        <v>61</v>
      </c>
      <c r="N5" s="94" t="s">
        <v>61</v>
      </c>
    </row>
    <row r="6" spans="1:15" x14ac:dyDescent="0.2">
      <c r="A6" s="5" t="s">
        <v>0</v>
      </c>
      <c r="B6" s="99">
        <v>2230</v>
      </c>
      <c r="C6" s="99">
        <v>1896</v>
      </c>
      <c r="D6" s="99">
        <v>7850</v>
      </c>
      <c r="E6" s="99">
        <v>7284</v>
      </c>
      <c r="F6" s="99">
        <v>359</v>
      </c>
      <c r="G6" s="99">
        <v>470</v>
      </c>
      <c r="H6" s="99">
        <v>215006.647</v>
      </c>
      <c r="I6" s="99">
        <v>251350</v>
      </c>
      <c r="J6" s="99">
        <v>11362</v>
      </c>
      <c r="K6" s="99">
        <v>10328</v>
      </c>
      <c r="L6" s="99">
        <v>7089</v>
      </c>
      <c r="M6" s="99">
        <v>158667</v>
      </c>
      <c r="N6" s="99">
        <v>437084</v>
      </c>
      <c r="O6" s="97"/>
    </row>
    <row r="7" spans="1:15" x14ac:dyDescent="0.2">
      <c r="A7" s="5" t="s">
        <v>1</v>
      </c>
      <c r="B7" s="99" t="s">
        <v>28</v>
      </c>
      <c r="C7" s="99" t="s">
        <v>28</v>
      </c>
      <c r="D7" s="99">
        <v>35</v>
      </c>
      <c r="E7" s="99">
        <v>141</v>
      </c>
      <c r="F7" s="99" t="s">
        <v>28</v>
      </c>
      <c r="G7" s="99" t="s">
        <v>28</v>
      </c>
      <c r="H7" s="99">
        <v>3021.2420000000002</v>
      </c>
      <c r="I7" s="99">
        <v>6818</v>
      </c>
      <c r="J7" s="99">
        <v>497</v>
      </c>
      <c r="K7" s="99">
        <v>1119</v>
      </c>
      <c r="L7" s="99">
        <v>68</v>
      </c>
      <c r="M7" s="99">
        <v>173</v>
      </c>
      <c r="N7" s="99">
        <v>8320</v>
      </c>
      <c r="O7" s="97"/>
    </row>
    <row r="8" spans="1:15" x14ac:dyDescent="0.2">
      <c r="A8" s="5" t="s">
        <v>2</v>
      </c>
      <c r="B8" s="99" t="s">
        <v>28</v>
      </c>
      <c r="C8" s="99" t="s">
        <v>28</v>
      </c>
      <c r="D8" s="99" t="s">
        <v>28</v>
      </c>
      <c r="E8" s="99" t="s">
        <v>28</v>
      </c>
      <c r="F8" s="99" t="s">
        <v>28</v>
      </c>
      <c r="G8" s="99" t="s">
        <v>28</v>
      </c>
      <c r="H8" s="99">
        <v>6217.4290000000001</v>
      </c>
      <c r="I8" s="99">
        <v>9855</v>
      </c>
      <c r="J8" s="99">
        <v>1902</v>
      </c>
      <c r="K8" s="99">
        <v>1439</v>
      </c>
      <c r="L8" s="99">
        <v>341</v>
      </c>
      <c r="M8" s="99">
        <v>3655</v>
      </c>
      <c r="N8" s="99">
        <v>15290</v>
      </c>
      <c r="O8" s="97"/>
    </row>
    <row r="9" spans="1:15" x14ac:dyDescent="0.2">
      <c r="A9" s="5" t="s">
        <v>3</v>
      </c>
      <c r="B9" s="99">
        <v>17</v>
      </c>
      <c r="C9" s="99">
        <v>21</v>
      </c>
      <c r="D9" s="99">
        <v>633</v>
      </c>
      <c r="E9" s="99">
        <v>635</v>
      </c>
      <c r="F9" s="99">
        <v>3016</v>
      </c>
      <c r="G9" s="99">
        <v>2902</v>
      </c>
      <c r="H9" s="99">
        <v>93.058999999999997</v>
      </c>
      <c r="I9" s="99">
        <v>368</v>
      </c>
      <c r="J9" s="99">
        <v>1514</v>
      </c>
      <c r="K9" s="99">
        <v>844</v>
      </c>
      <c r="L9" s="99">
        <v>34</v>
      </c>
      <c r="M9" s="99">
        <v>386</v>
      </c>
      <c r="N9" s="99">
        <v>5190</v>
      </c>
      <c r="O9" s="97"/>
    </row>
    <row r="10" spans="1:15" x14ac:dyDescent="0.2">
      <c r="A10" s="5" t="s">
        <v>86</v>
      </c>
      <c r="B10" s="99" t="s">
        <v>28</v>
      </c>
      <c r="C10" s="99" t="s">
        <v>28</v>
      </c>
      <c r="D10" s="99">
        <v>1</v>
      </c>
      <c r="E10" s="99">
        <v>6</v>
      </c>
      <c r="F10" s="99" t="s">
        <v>28</v>
      </c>
      <c r="G10" s="99" t="s">
        <v>28</v>
      </c>
      <c r="H10" s="99">
        <v>1771.655</v>
      </c>
      <c r="I10" s="99">
        <v>8125</v>
      </c>
      <c r="J10" s="99">
        <v>9</v>
      </c>
      <c r="K10" s="99">
        <v>24</v>
      </c>
      <c r="L10" s="99">
        <v>684</v>
      </c>
      <c r="M10" s="99">
        <v>7302</v>
      </c>
      <c r="N10" s="99">
        <v>16142</v>
      </c>
      <c r="O10" s="97"/>
    </row>
    <row r="11" spans="1:15" x14ac:dyDescent="0.2">
      <c r="A11" s="5" t="s">
        <v>4</v>
      </c>
      <c r="B11" s="99" t="s">
        <v>28</v>
      </c>
      <c r="C11" s="99" t="s">
        <v>28</v>
      </c>
      <c r="D11" s="99">
        <v>18505</v>
      </c>
      <c r="E11" s="99">
        <v>31755</v>
      </c>
      <c r="F11" s="99">
        <v>24403</v>
      </c>
      <c r="G11" s="99">
        <v>20646</v>
      </c>
      <c r="H11" s="99">
        <v>2628.5889999999999</v>
      </c>
      <c r="I11" s="99">
        <v>3650</v>
      </c>
      <c r="J11" s="99">
        <v>228</v>
      </c>
      <c r="K11" s="99">
        <v>323</v>
      </c>
      <c r="L11" s="99">
        <v>328</v>
      </c>
      <c r="M11" s="99">
        <v>3851</v>
      </c>
      <c r="N11" s="99">
        <v>60553</v>
      </c>
      <c r="O11" s="97"/>
    </row>
    <row r="12" spans="1:15" x14ac:dyDescent="0.2">
      <c r="A12" s="5" t="s">
        <v>40</v>
      </c>
      <c r="B12" s="99">
        <v>2</v>
      </c>
      <c r="C12" s="99" t="s">
        <v>28</v>
      </c>
      <c r="D12" s="99">
        <v>741</v>
      </c>
      <c r="E12" s="99">
        <v>1250</v>
      </c>
      <c r="F12" s="99" t="s">
        <v>28</v>
      </c>
      <c r="G12" s="99" t="s">
        <v>28</v>
      </c>
      <c r="H12" s="99">
        <v>45081.432000000001</v>
      </c>
      <c r="I12" s="99">
        <v>57747</v>
      </c>
      <c r="J12" s="99">
        <v>13156</v>
      </c>
      <c r="K12" s="99">
        <v>7855</v>
      </c>
      <c r="L12" s="99">
        <v>133427</v>
      </c>
      <c r="M12" s="99">
        <v>53936</v>
      </c>
      <c r="N12" s="99">
        <v>254216</v>
      </c>
      <c r="O12" s="97"/>
    </row>
    <row r="13" spans="1:15" x14ac:dyDescent="0.2">
      <c r="A13" s="5" t="s">
        <v>5</v>
      </c>
      <c r="B13" s="99" t="s">
        <v>28</v>
      </c>
      <c r="C13" s="99" t="s">
        <v>28</v>
      </c>
      <c r="D13" s="99">
        <v>39</v>
      </c>
      <c r="E13" s="99">
        <v>61</v>
      </c>
      <c r="F13" s="99" t="s">
        <v>28</v>
      </c>
      <c r="G13" s="99" t="s">
        <v>28</v>
      </c>
      <c r="H13" s="99">
        <v>110.86499999999999</v>
      </c>
      <c r="I13" s="99">
        <v>291</v>
      </c>
      <c r="J13" s="99">
        <v>4</v>
      </c>
      <c r="K13" s="99" t="s">
        <v>28</v>
      </c>
      <c r="L13" s="99">
        <v>1284</v>
      </c>
      <c r="M13" s="99">
        <v>3172</v>
      </c>
      <c r="N13" s="99">
        <v>4808</v>
      </c>
      <c r="O13" s="97"/>
    </row>
    <row r="14" spans="1:15" x14ac:dyDescent="0.2">
      <c r="A14" s="5" t="s">
        <v>6</v>
      </c>
      <c r="B14" s="99" t="s">
        <v>28</v>
      </c>
      <c r="C14" s="99" t="s">
        <v>28</v>
      </c>
      <c r="D14" s="99">
        <v>1710</v>
      </c>
      <c r="E14" s="99">
        <v>1857</v>
      </c>
      <c r="F14" s="99" t="s">
        <v>28</v>
      </c>
      <c r="G14" s="99" t="s">
        <v>28</v>
      </c>
      <c r="H14" s="103" t="s">
        <v>28</v>
      </c>
      <c r="I14" s="99" t="s">
        <v>28</v>
      </c>
      <c r="J14" s="99">
        <v>741</v>
      </c>
      <c r="K14" s="99">
        <v>452</v>
      </c>
      <c r="L14" s="99">
        <v>45</v>
      </c>
      <c r="M14" s="99">
        <v>87</v>
      </c>
      <c r="N14" s="99">
        <v>2441</v>
      </c>
      <c r="O14" s="97"/>
    </row>
    <row r="15" spans="1:15" x14ac:dyDescent="0.2">
      <c r="A15" s="5" t="s">
        <v>7</v>
      </c>
      <c r="B15" s="99">
        <v>25</v>
      </c>
      <c r="C15" s="99">
        <v>1</v>
      </c>
      <c r="D15" s="99" t="s">
        <v>28</v>
      </c>
      <c r="E15" s="99" t="s">
        <v>28</v>
      </c>
      <c r="F15" s="99" t="s">
        <v>28</v>
      </c>
      <c r="G15" s="99" t="s">
        <v>28</v>
      </c>
      <c r="H15" s="99">
        <v>21449.137999999999</v>
      </c>
      <c r="I15" s="99">
        <v>29192</v>
      </c>
      <c r="J15" s="99">
        <v>71</v>
      </c>
      <c r="K15" s="99">
        <v>627</v>
      </c>
      <c r="L15" s="99">
        <v>5</v>
      </c>
      <c r="M15" s="99">
        <v>966</v>
      </c>
      <c r="N15" s="99">
        <v>30790</v>
      </c>
      <c r="O15" s="97"/>
    </row>
    <row r="16" spans="1:15" x14ac:dyDescent="0.2">
      <c r="A16" s="5" t="s">
        <v>8</v>
      </c>
      <c r="B16" s="99" t="s">
        <v>28</v>
      </c>
      <c r="C16" s="99" t="s">
        <v>28</v>
      </c>
      <c r="D16" s="99">
        <v>285</v>
      </c>
      <c r="E16" s="99">
        <v>437</v>
      </c>
      <c r="F16" s="99" t="s">
        <v>28</v>
      </c>
      <c r="G16" s="99" t="s">
        <v>28</v>
      </c>
      <c r="H16" s="99">
        <v>1575.5319999999999</v>
      </c>
      <c r="I16" s="99">
        <v>4471</v>
      </c>
      <c r="J16" s="99">
        <v>112</v>
      </c>
      <c r="K16" s="99">
        <v>302</v>
      </c>
      <c r="L16" s="99">
        <v>780</v>
      </c>
      <c r="M16" s="99">
        <v>30383</v>
      </c>
      <c r="N16" s="99">
        <v>36373</v>
      </c>
      <c r="O16" s="97"/>
    </row>
    <row r="17" spans="1:15" x14ac:dyDescent="0.2">
      <c r="A17" s="5" t="s">
        <v>9</v>
      </c>
      <c r="B17" s="99">
        <v>23</v>
      </c>
      <c r="C17" s="99">
        <v>38</v>
      </c>
      <c r="D17" s="99">
        <v>10</v>
      </c>
      <c r="E17" s="99">
        <v>23</v>
      </c>
      <c r="F17" s="99">
        <v>37</v>
      </c>
      <c r="G17" s="99">
        <v>102</v>
      </c>
      <c r="H17" s="99">
        <v>23691.153999999999</v>
      </c>
      <c r="I17" s="99">
        <v>41532</v>
      </c>
      <c r="J17" s="99">
        <v>1097</v>
      </c>
      <c r="K17" s="99">
        <v>1179</v>
      </c>
      <c r="L17" s="99">
        <v>2902</v>
      </c>
      <c r="M17" s="99">
        <v>23193</v>
      </c>
      <c r="N17" s="99">
        <v>68970</v>
      </c>
      <c r="O17" s="97"/>
    </row>
    <row r="18" spans="1:15" x14ac:dyDescent="0.2">
      <c r="A18" s="5" t="s">
        <v>41</v>
      </c>
      <c r="B18" s="99" t="s">
        <v>28</v>
      </c>
      <c r="C18" s="99" t="s">
        <v>28</v>
      </c>
      <c r="D18" s="99">
        <v>295</v>
      </c>
      <c r="E18" s="99">
        <v>31</v>
      </c>
      <c r="F18" s="99" t="s">
        <v>28</v>
      </c>
      <c r="G18" s="99" t="s">
        <v>28</v>
      </c>
      <c r="H18" s="99">
        <v>52.68</v>
      </c>
      <c r="I18" s="99">
        <v>179</v>
      </c>
      <c r="J18" s="99">
        <v>44</v>
      </c>
      <c r="K18" s="99">
        <v>34</v>
      </c>
      <c r="L18" s="99">
        <v>198</v>
      </c>
      <c r="M18" s="99">
        <v>3068</v>
      </c>
      <c r="N18" s="99">
        <v>3509</v>
      </c>
      <c r="O18" s="97"/>
    </row>
    <row r="19" spans="1:15" x14ac:dyDescent="0.2">
      <c r="A19" s="5" t="s">
        <v>10</v>
      </c>
      <c r="B19" s="99" t="s">
        <v>28</v>
      </c>
      <c r="C19" s="99" t="s">
        <v>28</v>
      </c>
      <c r="D19" s="99">
        <v>88</v>
      </c>
      <c r="E19" s="99">
        <v>263</v>
      </c>
      <c r="F19" s="99" t="s">
        <v>28</v>
      </c>
      <c r="G19" s="99" t="s">
        <v>28</v>
      </c>
      <c r="H19" s="99">
        <v>155.02000000000001</v>
      </c>
      <c r="I19" s="99">
        <v>287</v>
      </c>
      <c r="J19" s="99">
        <v>80</v>
      </c>
      <c r="K19" s="99">
        <v>220</v>
      </c>
      <c r="L19" s="99">
        <v>1554</v>
      </c>
      <c r="M19" s="99">
        <v>1482</v>
      </c>
      <c r="N19" s="99">
        <v>3806</v>
      </c>
      <c r="O19" s="97"/>
    </row>
    <row r="20" spans="1:15" x14ac:dyDescent="0.2">
      <c r="A20" s="5" t="s">
        <v>11</v>
      </c>
      <c r="B20" s="99">
        <v>2</v>
      </c>
      <c r="C20" s="99" t="s">
        <v>28</v>
      </c>
      <c r="D20" s="99">
        <v>6316</v>
      </c>
      <c r="E20" s="99">
        <v>8748</v>
      </c>
      <c r="F20" s="99" t="s">
        <v>28</v>
      </c>
      <c r="G20" s="99" t="s">
        <v>28</v>
      </c>
      <c r="H20" s="99">
        <v>34675.656999999999</v>
      </c>
      <c r="I20" s="99">
        <v>45454</v>
      </c>
      <c r="J20" s="99">
        <v>1231</v>
      </c>
      <c r="K20" s="99">
        <v>1705</v>
      </c>
      <c r="L20" s="99">
        <v>10022</v>
      </c>
      <c r="M20" s="99">
        <v>19101</v>
      </c>
      <c r="N20" s="99">
        <v>85029</v>
      </c>
      <c r="O20" s="97"/>
    </row>
    <row r="21" spans="1:15" x14ac:dyDescent="0.2">
      <c r="A21" s="5" t="s">
        <v>12</v>
      </c>
      <c r="B21" s="99" t="s">
        <v>28</v>
      </c>
      <c r="C21" s="99" t="s">
        <v>28</v>
      </c>
      <c r="D21" s="99">
        <v>381</v>
      </c>
      <c r="E21" s="99">
        <v>574</v>
      </c>
      <c r="F21" s="99">
        <v>17</v>
      </c>
      <c r="G21" s="99">
        <v>48</v>
      </c>
      <c r="H21" s="99">
        <v>10085.789000000001</v>
      </c>
      <c r="I21" s="99">
        <v>14226</v>
      </c>
      <c r="J21" s="99">
        <v>1700</v>
      </c>
      <c r="K21" s="99">
        <v>2294</v>
      </c>
      <c r="L21" s="99">
        <v>10116</v>
      </c>
      <c r="M21" s="99">
        <v>6888</v>
      </c>
      <c r="N21" s="99">
        <v>34145</v>
      </c>
      <c r="O21" s="97"/>
    </row>
    <row r="22" spans="1:15" x14ac:dyDescent="0.2">
      <c r="A22" s="5" t="s">
        <v>13</v>
      </c>
      <c r="B22" s="99">
        <v>1</v>
      </c>
      <c r="C22" s="99" t="s">
        <v>28</v>
      </c>
      <c r="D22" s="99" t="s">
        <v>28</v>
      </c>
      <c r="E22" s="99" t="s">
        <v>28</v>
      </c>
      <c r="F22" s="99" t="s">
        <v>28</v>
      </c>
      <c r="G22" s="99" t="s">
        <v>28</v>
      </c>
      <c r="H22" s="99">
        <v>45703.324999999997</v>
      </c>
      <c r="I22" s="99">
        <v>60293</v>
      </c>
      <c r="J22" s="99" t="s">
        <v>28</v>
      </c>
      <c r="K22" s="99" t="s">
        <v>28</v>
      </c>
      <c r="L22" s="99">
        <v>138</v>
      </c>
      <c r="M22" s="99">
        <v>1245</v>
      </c>
      <c r="N22" s="99">
        <v>61676</v>
      </c>
      <c r="O22" s="97"/>
    </row>
    <row r="23" spans="1:15" x14ac:dyDescent="0.2">
      <c r="A23" s="5" t="s">
        <v>42</v>
      </c>
      <c r="B23" s="99" t="s">
        <v>28</v>
      </c>
      <c r="C23" s="99" t="s">
        <v>28</v>
      </c>
      <c r="D23" s="99">
        <v>74</v>
      </c>
      <c r="E23" s="99">
        <v>6</v>
      </c>
      <c r="F23" s="99" t="s">
        <v>28</v>
      </c>
      <c r="G23" s="99" t="s">
        <v>28</v>
      </c>
      <c r="H23" s="99">
        <v>28928.489000000001</v>
      </c>
      <c r="I23" s="99">
        <v>36155</v>
      </c>
      <c r="J23" s="99">
        <v>180</v>
      </c>
      <c r="K23" s="99">
        <v>30</v>
      </c>
      <c r="L23" s="99">
        <v>264</v>
      </c>
      <c r="M23" s="99">
        <v>2351</v>
      </c>
      <c r="N23" s="99">
        <v>38806</v>
      </c>
      <c r="O23" s="97"/>
    </row>
    <row r="24" spans="1:15" x14ac:dyDescent="0.2">
      <c r="A24" s="5" t="s">
        <v>14</v>
      </c>
      <c r="B24" s="99">
        <v>5</v>
      </c>
      <c r="C24" s="99">
        <v>8</v>
      </c>
      <c r="D24" s="99">
        <v>646</v>
      </c>
      <c r="E24" s="99">
        <v>969</v>
      </c>
      <c r="F24" s="99" t="s">
        <v>28</v>
      </c>
      <c r="G24" s="99" t="s">
        <v>28</v>
      </c>
      <c r="H24" s="99">
        <v>6406.5029999999997</v>
      </c>
      <c r="I24" s="99">
        <v>6390</v>
      </c>
      <c r="J24" s="99">
        <v>2250</v>
      </c>
      <c r="K24" s="99">
        <v>2445</v>
      </c>
      <c r="L24" s="99">
        <v>25910</v>
      </c>
      <c r="M24" s="99">
        <v>12909</v>
      </c>
      <c r="N24" s="99">
        <v>48631</v>
      </c>
      <c r="O24" s="97"/>
    </row>
    <row r="25" spans="1:15" x14ac:dyDescent="0.2">
      <c r="A25" s="5" t="s">
        <v>15</v>
      </c>
      <c r="B25" s="99" t="s">
        <v>28</v>
      </c>
      <c r="C25" s="99" t="s">
        <v>28</v>
      </c>
      <c r="D25" s="99" t="s">
        <v>28</v>
      </c>
      <c r="E25" s="99" t="s">
        <v>28</v>
      </c>
      <c r="F25" s="99" t="s">
        <v>28</v>
      </c>
      <c r="G25" s="99" t="s">
        <v>28</v>
      </c>
      <c r="H25" s="99">
        <v>9.452</v>
      </c>
      <c r="I25" s="99">
        <v>134</v>
      </c>
      <c r="J25" s="99" t="s">
        <v>28</v>
      </c>
      <c r="K25" s="99" t="s">
        <v>28</v>
      </c>
      <c r="L25" s="99">
        <v>14</v>
      </c>
      <c r="M25" s="99">
        <v>4065</v>
      </c>
      <c r="N25" s="99">
        <v>4214</v>
      </c>
      <c r="O25" s="97"/>
    </row>
    <row r="26" spans="1:15" x14ac:dyDescent="0.2">
      <c r="A26" s="5" t="s">
        <v>16</v>
      </c>
      <c r="B26" s="99" t="s">
        <v>28</v>
      </c>
      <c r="C26" s="99" t="s">
        <v>28</v>
      </c>
      <c r="D26" s="99" t="s">
        <v>28</v>
      </c>
      <c r="E26" s="99" t="s">
        <v>28</v>
      </c>
      <c r="F26" s="99" t="s">
        <v>28</v>
      </c>
      <c r="G26" s="99" t="s">
        <v>28</v>
      </c>
      <c r="H26" s="99">
        <v>1339.578</v>
      </c>
      <c r="I26" s="99">
        <v>3241</v>
      </c>
      <c r="J26" s="99">
        <v>115</v>
      </c>
      <c r="K26" s="99">
        <v>25</v>
      </c>
      <c r="L26" s="99">
        <v>614</v>
      </c>
      <c r="M26" s="99">
        <v>3649</v>
      </c>
      <c r="N26" s="99">
        <v>7530</v>
      </c>
      <c r="O26" s="97"/>
    </row>
    <row r="27" spans="1:15" x14ac:dyDescent="0.2">
      <c r="A27" s="5" t="s">
        <v>17</v>
      </c>
      <c r="B27" s="99" t="s">
        <v>28</v>
      </c>
      <c r="C27" s="99" t="s">
        <v>28</v>
      </c>
      <c r="D27" s="99">
        <v>4</v>
      </c>
      <c r="E27" s="99" t="s">
        <v>28</v>
      </c>
      <c r="F27" s="99" t="s">
        <v>28</v>
      </c>
      <c r="G27" s="99" t="s">
        <v>28</v>
      </c>
      <c r="H27" s="99">
        <v>358.18099999999998</v>
      </c>
      <c r="I27" s="99">
        <v>488</v>
      </c>
      <c r="J27" s="99" t="s">
        <v>28</v>
      </c>
      <c r="K27" s="99" t="s">
        <v>28</v>
      </c>
      <c r="L27" s="99">
        <v>1013</v>
      </c>
      <c r="M27" s="99">
        <v>373</v>
      </c>
      <c r="N27" s="99">
        <v>1874</v>
      </c>
      <c r="O27" s="97"/>
    </row>
    <row r="28" spans="1:15" x14ac:dyDescent="0.2">
      <c r="A28" s="5" t="s">
        <v>18</v>
      </c>
      <c r="B28" s="99">
        <v>348</v>
      </c>
      <c r="C28" s="99">
        <v>284</v>
      </c>
      <c r="D28" s="99">
        <v>2129</v>
      </c>
      <c r="E28" s="99">
        <v>1889</v>
      </c>
      <c r="F28" s="99" t="s">
        <v>28</v>
      </c>
      <c r="G28" s="99" t="s">
        <v>28</v>
      </c>
      <c r="H28" s="99" t="s">
        <v>28</v>
      </c>
      <c r="I28" s="99" t="s">
        <v>28</v>
      </c>
      <c r="J28" s="99">
        <v>92</v>
      </c>
      <c r="K28" s="99">
        <v>421</v>
      </c>
      <c r="L28" s="99" t="s">
        <v>28</v>
      </c>
      <c r="M28" s="99">
        <v>2</v>
      </c>
      <c r="N28" s="99">
        <v>2596</v>
      </c>
      <c r="O28" s="97"/>
    </row>
    <row r="29" spans="1:15" x14ac:dyDescent="0.2">
      <c r="A29" s="5" t="s">
        <v>19</v>
      </c>
      <c r="B29" s="99" t="s">
        <v>28</v>
      </c>
      <c r="C29" s="99" t="s">
        <v>28</v>
      </c>
      <c r="D29" s="99" t="s">
        <v>28</v>
      </c>
      <c r="E29" s="99" t="s">
        <v>28</v>
      </c>
      <c r="F29" s="99" t="s">
        <v>28</v>
      </c>
      <c r="G29" s="99" t="s">
        <v>28</v>
      </c>
      <c r="H29" s="103" t="s">
        <v>28</v>
      </c>
      <c r="I29" s="99">
        <v>2</v>
      </c>
      <c r="J29" s="99" t="s">
        <v>28</v>
      </c>
      <c r="K29" s="99" t="s">
        <v>28</v>
      </c>
      <c r="L29" s="99">
        <v>196</v>
      </c>
      <c r="M29" s="99">
        <v>1396</v>
      </c>
      <c r="N29" s="99">
        <v>1594</v>
      </c>
      <c r="O29" s="97"/>
    </row>
    <row r="30" spans="1:15" x14ac:dyDescent="0.2">
      <c r="A30" s="5" t="s">
        <v>20</v>
      </c>
      <c r="B30" s="99" t="s">
        <v>28</v>
      </c>
      <c r="C30" s="99" t="s">
        <v>28</v>
      </c>
      <c r="D30" s="99" t="s">
        <v>28</v>
      </c>
      <c r="E30" s="99" t="s">
        <v>28</v>
      </c>
      <c r="F30" s="99" t="s">
        <v>28</v>
      </c>
      <c r="G30" s="99" t="s">
        <v>28</v>
      </c>
      <c r="H30" s="99">
        <v>415.27600000000001</v>
      </c>
      <c r="I30" s="99">
        <v>708</v>
      </c>
      <c r="J30" s="99">
        <v>371</v>
      </c>
      <c r="K30" s="99">
        <v>21</v>
      </c>
      <c r="L30" s="99">
        <v>1</v>
      </c>
      <c r="M30" s="99">
        <v>3590</v>
      </c>
      <c r="N30" s="99">
        <v>4320</v>
      </c>
      <c r="O30" s="97"/>
    </row>
    <row r="31" spans="1:15" x14ac:dyDescent="0.2">
      <c r="A31" s="5" t="s">
        <v>21</v>
      </c>
      <c r="B31" s="99" t="s">
        <v>28</v>
      </c>
      <c r="C31" s="99" t="s">
        <v>28</v>
      </c>
      <c r="D31" s="99">
        <v>65</v>
      </c>
      <c r="E31" s="99">
        <v>344</v>
      </c>
      <c r="F31" s="99" t="s">
        <v>28</v>
      </c>
      <c r="G31" s="99" t="s">
        <v>28</v>
      </c>
      <c r="H31" s="99">
        <v>4484.3289999999997</v>
      </c>
      <c r="I31" s="99">
        <v>25354</v>
      </c>
      <c r="J31" s="99">
        <v>249</v>
      </c>
      <c r="K31" s="99">
        <v>139</v>
      </c>
      <c r="L31" s="99">
        <v>405</v>
      </c>
      <c r="M31" s="99">
        <v>6297</v>
      </c>
      <c r="N31" s="99">
        <v>32539</v>
      </c>
      <c r="O31" s="97"/>
    </row>
    <row r="32" spans="1:15" x14ac:dyDescent="0.2">
      <c r="A32" s="5" t="s">
        <v>22</v>
      </c>
      <c r="B32" s="99" t="s">
        <v>28</v>
      </c>
      <c r="C32" s="99" t="s">
        <v>28</v>
      </c>
      <c r="D32" s="99" t="s">
        <v>28</v>
      </c>
      <c r="E32" s="99" t="s">
        <v>28</v>
      </c>
      <c r="F32" s="99" t="s">
        <v>28</v>
      </c>
      <c r="G32" s="99" t="s">
        <v>28</v>
      </c>
      <c r="H32" s="99">
        <v>35327.847999999998</v>
      </c>
      <c r="I32" s="99">
        <v>40252</v>
      </c>
      <c r="J32" s="99">
        <v>1732</v>
      </c>
      <c r="K32" s="99">
        <v>611</v>
      </c>
      <c r="L32" s="99">
        <v>176</v>
      </c>
      <c r="M32" s="99">
        <v>91</v>
      </c>
      <c r="N32" s="99">
        <v>41130</v>
      </c>
      <c r="O32" s="97"/>
    </row>
    <row r="33" spans="1:15" x14ac:dyDescent="0.2">
      <c r="A33" s="5" t="s">
        <v>23</v>
      </c>
      <c r="B33" s="99">
        <v>15</v>
      </c>
      <c r="C33" s="99">
        <v>21</v>
      </c>
      <c r="D33" s="99" t="s">
        <v>28</v>
      </c>
      <c r="E33" s="99" t="s">
        <v>28</v>
      </c>
      <c r="F33" s="99" t="s">
        <v>28</v>
      </c>
      <c r="G33" s="99" t="s">
        <v>28</v>
      </c>
      <c r="H33" s="99">
        <v>671.24</v>
      </c>
      <c r="I33" s="99">
        <v>3780</v>
      </c>
      <c r="J33" s="99">
        <v>44</v>
      </c>
      <c r="K33" s="99">
        <v>73</v>
      </c>
      <c r="L33" s="99">
        <v>280</v>
      </c>
      <c r="M33" s="99">
        <v>1056</v>
      </c>
      <c r="N33" s="99">
        <v>5209</v>
      </c>
      <c r="O33" s="97"/>
    </row>
    <row r="34" spans="1:15" x14ac:dyDescent="0.2">
      <c r="A34" s="5" t="s">
        <v>24</v>
      </c>
      <c r="B34" s="99" t="s">
        <v>28</v>
      </c>
      <c r="C34" s="99" t="s">
        <v>28</v>
      </c>
      <c r="D34" s="99" t="s">
        <v>28</v>
      </c>
      <c r="E34" s="99" t="s">
        <v>28</v>
      </c>
      <c r="F34" s="99" t="s">
        <v>28</v>
      </c>
      <c r="G34" s="99" t="s">
        <v>28</v>
      </c>
      <c r="H34" s="99">
        <v>3023.2069999999999</v>
      </c>
      <c r="I34" s="99">
        <v>5436</v>
      </c>
      <c r="J34" s="99">
        <v>5053</v>
      </c>
      <c r="K34" s="99">
        <v>1085</v>
      </c>
      <c r="L34" s="99">
        <v>180</v>
      </c>
      <c r="M34" s="99">
        <v>3278</v>
      </c>
      <c r="N34" s="99">
        <v>9978</v>
      </c>
      <c r="O34" s="97"/>
    </row>
    <row r="35" spans="1:15" x14ac:dyDescent="0.2">
      <c r="A35" s="5" t="s">
        <v>25</v>
      </c>
      <c r="B35" s="99" t="s">
        <v>28</v>
      </c>
      <c r="C35" s="99" t="s">
        <v>28</v>
      </c>
      <c r="D35" s="99" t="s">
        <v>28</v>
      </c>
      <c r="E35" s="99" t="s">
        <v>28</v>
      </c>
      <c r="F35" s="99" t="s">
        <v>28</v>
      </c>
      <c r="G35" s="99" t="s">
        <v>28</v>
      </c>
      <c r="H35" s="99">
        <v>368.00700000000001</v>
      </c>
      <c r="I35" s="99">
        <v>2545</v>
      </c>
      <c r="J35" s="99" t="s">
        <v>28</v>
      </c>
      <c r="K35" s="99" t="s">
        <v>28</v>
      </c>
      <c r="L35" s="99">
        <v>58</v>
      </c>
      <c r="M35" s="99">
        <v>271</v>
      </c>
      <c r="N35" s="99">
        <v>2874</v>
      </c>
      <c r="O35" s="97"/>
    </row>
    <row r="36" spans="1:15" x14ac:dyDescent="0.2">
      <c r="A36" s="5" t="s">
        <v>26</v>
      </c>
      <c r="B36" s="99" t="s">
        <v>28</v>
      </c>
      <c r="C36" s="99" t="s">
        <v>28</v>
      </c>
      <c r="D36" s="99">
        <v>19</v>
      </c>
      <c r="E36" s="99">
        <v>307</v>
      </c>
      <c r="F36" s="99" t="s">
        <v>28</v>
      </c>
      <c r="G36" s="99" t="s">
        <v>28</v>
      </c>
      <c r="H36" s="99">
        <v>4254.9040000000005</v>
      </c>
      <c r="I36" s="99">
        <v>6947</v>
      </c>
      <c r="J36" s="99">
        <v>843</v>
      </c>
      <c r="K36" s="99">
        <v>705</v>
      </c>
      <c r="L36" s="99">
        <v>4096</v>
      </c>
      <c r="M36" s="99">
        <v>5562</v>
      </c>
      <c r="N36" s="99">
        <v>17618</v>
      </c>
      <c r="O36" s="97"/>
    </row>
    <row r="37" spans="1:15" x14ac:dyDescent="0.2">
      <c r="A37" s="5" t="s">
        <v>45</v>
      </c>
      <c r="B37" s="99">
        <v>328</v>
      </c>
      <c r="C37" s="99">
        <v>544</v>
      </c>
      <c r="D37" s="99">
        <v>4205</v>
      </c>
      <c r="E37" s="99">
        <v>3819</v>
      </c>
      <c r="F37" s="99">
        <v>3471</v>
      </c>
      <c r="G37" s="99">
        <v>3974</v>
      </c>
      <c r="H37" s="99">
        <v>16443.294000000002</v>
      </c>
      <c r="I37" s="99">
        <v>27933</v>
      </c>
      <c r="J37" s="99">
        <v>3957</v>
      </c>
      <c r="K37" s="99">
        <v>2364</v>
      </c>
      <c r="L37" s="99">
        <v>2746</v>
      </c>
      <c r="M37" s="99">
        <v>20291</v>
      </c>
      <c r="N37" s="99">
        <v>61671</v>
      </c>
      <c r="O37" s="97"/>
    </row>
    <row r="38" spans="1:15" x14ac:dyDescent="0.2">
      <c r="A38" s="5" t="s">
        <v>46</v>
      </c>
      <c r="B38" s="99" t="s">
        <v>28</v>
      </c>
      <c r="C38" s="99" t="s">
        <v>28</v>
      </c>
      <c r="D38" s="99">
        <v>28</v>
      </c>
      <c r="E38" s="99">
        <v>29</v>
      </c>
      <c r="F38" s="99" t="s">
        <v>28</v>
      </c>
      <c r="G38" s="99" t="s">
        <v>28</v>
      </c>
      <c r="H38" s="103" t="s">
        <v>28</v>
      </c>
      <c r="I38" s="99">
        <v>1</v>
      </c>
      <c r="J38" s="99" t="s">
        <v>28</v>
      </c>
      <c r="K38" s="99" t="s">
        <v>28</v>
      </c>
      <c r="L38" s="99">
        <v>32928</v>
      </c>
      <c r="M38" s="99">
        <v>3133</v>
      </c>
      <c r="N38" s="99">
        <v>36091</v>
      </c>
      <c r="O38" s="97"/>
    </row>
    <row r="39" spans="1:15" x14ac:dyDescent="0.2">
      <c r="A39" s="5" t="s">
        <v>93</v>
      </c>
      <c r="B39" s="99">
        <v>1539</v>
      </c>
      <c r="C39" s="99">
        <v>1171</v>
      </c>
      <c r="D39" s="99">
        <v>8148</v>
      </c>
      <c r="E39" s="99">
        <v>7283</v>
      </c>
      <c r="F39" s="99">
        <v>1999</v>
      </c>
      <c r="G39" s="99">
        <v>1720</v>
      </c>
      <c r="H39" s="99">
        <v>1262.306</v>
      </c>
      <c r="I39" s="99">
        <v>3090</v>
      </c>
      <c r="J39" s="99">
        <v>15001</v>
      </c>
      <c r="K39" s="99">
        <v>6842</v>
      </c>
      <c r="L39" s="99">
        <v>3447</v>
      </c>
      <c r="M39" s="99">
        <v>17008</v>
      </c>
      <c r="N39" s="99">
        <v>40560</v>
      </c>
      <c r="O39" s="97"/>
    </row>
    <row r="40" spans="1:15" x14ac:dyDescent="0.2">
      <c r="A40" s="85" t="s">
        <v>27</v>
      </c>
      <c r="B40" s="101">
        <v>4537</v>
      </c>
      <c r="C40" s="101">
        <v>3984</v>
      </c>
      <c r="D40" s="101">
        <v>52206</v>
      </c>
      <c r="E40" s="101">
        <v>67712</v>
      </c>
      <c r="F40" s="101">
        <v>33302</v>
      </c>
      <c r="G40" s="101">
        <v>29861</v>
      </c>
      <c r="H40" s="101">
        <v>514612.98599999998</v>
      </c>
      <c r="I40" s="101">
        <v>696295</v>
      </c>
      <c r="J40" s="101">
        <v>63636</v>
      </c>
      <c r="K40" s="101">
        <v>43507</v>
      </c>
      <c r="L40" s="101">
        <v>241340</v>
      </c>
      <c r="M40" s="101">
        <v>402876</v>
      </c>
      <c r="N40" s="101">
        <v>1485575</v>
      </c>
      <c r="O40" s="97"/>
    </row>
    <row r="41" spans="1:15" x14ac:dyDescent="0.2">
      <c r="A41" s="5"/>
      <c r="B41" s="95"/>
      <c r="C41" s="95"/>
      <c r="D41" s="95"/>
      <c r="E41" s="95"/>
      <c r="F41" s="95"/>
      <c r="G41" s="95"/>
      <c r="H41" s="95"/>
      <c r="I41" s="95"/>
      <c r="J41" s="95"/>
      <c r="K41" s="95"/>
      <c r="L41" s="95"/>
      <c r="M41" s="95"/>
      <c r="N41" s="95"/>
    </row>
    <row r="42" spans="1:15" x14ac:dyDescent="0.2">
      <c r="A42" s="79" t="s">
        <v>48</v>
      </c>
      <c r="B42" s="5"/>
      <c r="C42" s="5"/>
      <c r="D42" s="5"/>
      <c r="E42" s="5"/>
      <c r="F42" s="5"/>
      <c r="G42" s="5"/>
      <c r="H42" s="5"/>
      <c r="I42" s="5"/>
      <c r="J42" s="5"/>
      <c r="K42" s="5"/>
      <c r="L42" s="5"/>
      <c r="M42" s="5"/>
      <c r="N42" s="5"/>
    </row>
    <row r="43" spans="1:15" x14ac:dyDescent="0.2">
      <c r="A43" s="80" t="s">
        <v>97</v>
      </c>
      <c r="B43" s="5"/>
      <c r="C43" s="5"/>
      <c r="D43" s="5"/>
      <c r="E43" s="5"/>
      <c r="F43" s="5"/>
      <c r="G43" s="5"/>
      <c r="H43" s="5"/>
      <c r="I43" s="5"/>
      <c r="J43" s="5"/>
      <c r="K43" s="5"/>
      <c r="L43" s="5"/>
      <c r="M43" s="5"/>
      <c r="N43" s="5"/>
    </row>
    <row r="44" spans="1:15" x14ac:dyDescent="0.2">
      <c r="A44" s="80"/>
      <c r="B44" s="5"/>
      <c r="C44" s="5"/>
      <c r="D44" s="5"/>
      <c r="E44" s="5"/>
      <c r="F44" s="5"/>
      <c r="G44" s="5"/>
      <c r="H44" s="5"/>
      <c r="I44" s="5"/>
      <c r="J44" s="5"/>
      <c r="K44" s="5"/>
      <c r="L44" s="5"/>
      <c r="M44" s="5"/>
      <c r="N44" s="5"/>
    </row>
    <row r="45" spans="1:15" x14ac:dyDescent="0.2">
      <c r="A45" s="3" t="s">
        <v>37</v>
      </c>
      <c r="B45" s="5"/>
      <c r="C45" s="5"/>
      <c r="D45" s="5"/>
      <c r="E45" s="5"/>
      <c r="F45" s="5"/>
      <c r="G45" s="5"/>
      <c r="H45" s="5"/>
      <c r="I45" s="5"/>
      <c r="J45" s="5"/>
      <c r="K45" s="5"/>
      <c r="L45" s="5"/>
      <c r="M45" s="5"/>
      <c r="N45" s="5"/>
    </row>
    <row r="46" spans="1:15" x14ac:dyDescent="0.2">
      <c r="A46" s="4" t="s">
        <v>54</v>
      </c>
      <c r="B46" s="5"/>
      <c r="C46" s="5"/>
      <c r="D46" s="5"/>
      <c r="E46" s="5"/>
      <c r="F46" s="5"/>
      <c r="G46" s="5"/>
      <c r="H46" s="5"/>
      <c r="I46" s="5"/>
      <c r="J46" s="5"/>
      <c r="K46" s="5"/>
      <c r="L46" s="5"/>
      <c r="M46" s="5"/>
      <c r="N46" s="5"/>
    </row>
    <row r="47" spans="1:15" x14ac:dyDescent="0.2">
      <c r="A47" s="4" t="s">
        <v>55</v>
      </c>
      <c r="B47" s="5"/>
      <c r="C47" s="5"/>
      <c r="D47" s="5"/>
      <c r="E47" s="5"/>
      <c r="F47" s="5"/>
      <c r="G47" s="5"/>
      <c r="H47" s="5"/>
      <c r="I47" s="5"/>
      <c r="J47" s="5"/>
      <c r="K47" s="5"/>
      <c r="L47" s="5"/>
      <c r="M47" s="5"/>
      <c r="N47" s="5"/>
    </row>
    <row r="48" spans="1:15" x14ac:dyDescent="0.2">
      <c r="A48" s="4" t="s">
        <v>56</v>
      </c>
      <c r="B48" s="5"/>
      <c r="C48" s="5"/>
      <c r="D48" s="5"/>
      <c r="E48" s="5"/>
      <c r="F48" s="5"/>
      <c r="G48" s="5"/>
      <c r="H48" s="5"/>
      <c r="I48" s="5"/>
      <c r="J48" s="5"/>
      <c r="K48" s="5"/>
      <c r="L48" s="5"/>
      <c r="M48" s="5"/>
      <c r="N48" s="5"/>
    </row>
    <row r="49" spans="1:1" x14ac:dyDescent="0.2">
      <c r="A49" s="4" t="s">
        <v>67</v>
      </c>
    </row>
    <row r="50" spans="1:1" x14ac:dyDescent="0.2">
      <c r="A50" s="4" t="s">
        <v>68</v>
      </c>
    </row>
    <row r="51" spans="1:1" x14ac:dyDescent="0.2">
      <c r="A51" s="4" t="s">
        <v>72</v>
      </c>
    </row>
    <row r="52" spans="1:1" x14ac:dyDescent="0.2">
      <c r="A52" s="4" t="s">
        <v>73</v>
      </c>
    </row>
    <row r="53" spans="1:1" x14ac:dyDescent="0.2">
      <c r="A53" s="4" t="s">
        <v>74</v>
      </c>
    </row>
    <row r="54" spans="1:1" x14ac:dyDescent="0.2">
      <c r="A54" s="82"/>
    </row>
    <row r="55" spans="1:1" x14ac:dyDescent="0.2">
      <c r="A55" s="3" t="s">
        <v>50</v>
      </c>
    </row>
    <row r="56" spans="1:1" x14ac:dyDescent="0.2">
      <c r="A56" s="102" t="s">
        <v>98</v>
      </c>
    </row>
    <row r="57" spans="1:1" x14ac:dyDescent="0.2">
      <c r="A57" s="81"/>
    </row>
  </sheetData>
  <mergeCells count="6">
    <mergeCell ref="H3:I3"/>
    <mergeCell ref="J3:K3"/>
    <mergeCell ref="A3:A5"/>
    <mergeCell ref="B3:C3"/>
    <mergeCell ref="D3:E3"/>
    <mergeCell ref="F3:G3"/>
  </mergeCells>
  <phoneticPr fontId="0" type="noConversion"/>
  <pageMargins left="0.47" right="0.28999999999999998" top="0.17" bottom="0.17" header="0.16" footer="0.17"/>
  <pageSetup paperSize="9" scale="7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O56"/>
  <sheetViews>
    <sheetView workbookViewId="0"/>
  </sheetViews>
  <sheetFormatPr defaultRowHeight="12.75" x14ac:dyDescent="0.2"/>
  <cols>
    <col min="1" max="1" width="21.28515625" customWidth="1"/>
    <col min="4" max="4" width="8.42578125" bestFit="1" customWidth="1"/>
    <col min="5" max="5" width="7.7109375" bestFit="1" customWidth="1"/>
    <col min="7" max="7" width="7.7109375" bestFit="1" customWidth="1"/>
    <col min="9" max="9" width="7.7109375" bestFit="1" customWidth="1"/>
    <col min="11" max="11" width="7.7109375" bestFit="1" customWidth="1"/>
    <col min="12" max="12" width="12.140625" customWidth="1"/>
    <col min="13" max="13" width="13" customWidth="1"/>
    <col min="14" max="14" width="11.7109375" customWidth="1"/>
  </cols>
  <sheetData>
    <row r="1" spans="1:15" ht="16.5" x14ac:dyDescent="0.2">
      <c r="A1" s="76" t="s">
        <v>99</v>
      </c>
    </row>
    <row r="3" spans="1:15" ht="28.5" customHeight="1" x14ac:dyDescent="0.2">
      <c r="A3" s="171" t="s">
        <v>38</v>
      </c>
      <c r="B3" s="170" t="s">
        <v>36</v>
      </c>
      <c r="C3" s="170"/>
      <c r="D3" s="173" t="s">
        <v>90</v>
      </c>
      <c r="E3" s="174"/>
      <c r="F3" s="170" t="s">
        <v>35</v>
      </c>
      <c r="G3" s="170"/>
      <c r="H3" s="170" t="s">
        <v>91</v>
      </c>
      <c r="I3" s="170"/>
      <c r="J3" s="170" t="s">
        <v>70</v>
      </c>
      <c r="K3" s="170"/>
      <c r="L3" s="93" t="s">
        <v>92</v>
      </c>
      <c r="M3" s="93" t="s">
        <v>71</v>
      </c>
      <c r="N3" s="93" t="s">
        <v>34</v>
      </c>
      <c r="O3" s="5"/>
    </row>
    <row r="4" spans="1:15" x14ac:dyDescent="0.2">
      <c r="A4" s="171"/>
      <c r="B4" s="3" t="s">
        <v>59</v>
      </c>
      <c r="C4" s="3" t="s">
        <v>57</v>
      </c>
      <c r="D4" s="3" t="s">
        <v>69</v>
      </c>
      <c r="E4" s="3" t="s">
        <v>57</v>
      </c>
      <c r="F4" s="3" t="s">
        <v>58</v>
      </c>
      <c r="G4" s="3" t="s">
        <v>57</v>
      </c>
      <c r="H4" s="3" t="s">
        <v>58</v>
      </c>
      <c r="I4" s="3" t="s">
        <v>57</v>
      </c>
      <c r="J4" s="3" t="s">
        <v>58</v>
      </c>
      <c r="K4" s="3" t="s">
        <v>57</v>
      </c>
      <c r="L4" s="3" t="s">
        <v>57</v>
      </c>
      <c r="M4" s="3" t="s">
        <v>57</v>
      </c>
      <c r="N4" s="3" t="s">
        <v>57</v>
      </c>
      <c r="O4" s="5"/>
    </row>
    <row r="5" spans="1:15" x14ac:dyDescent="0.2">
      <c r="A5" s="172"/>
      <c r="B5" s="94" t="s">
        <v>87</v>
      </c>
      <c r="C5" s="94" t="s">
        <v>61</v>
      </c>
      <c r="D5" s="94" t="s">
        <v>88</v>
      </c>
      <c r="E5" s="94" t="s">
        <v>61</v>
      </c>
      <c r="F5" s="94" t="s">
        <v>63</v>
      </c>
      <c r="G5" s="94" t="s">
        <v>61</v>
      </c>
      <c r="H5" s="94" t="s">
        <v>63</v>
      </c>
      <c r="I5" s="94" t="s">
        <v>61</v>
      </c>
      <c r="J5" s="94" t="s">
        <v>89</v>
      </c>
      <c r="K5" s="94" t="s">
        <v>61</v>
      </c>
      <c r="L5" s="94" t="s">
        <v>61</v>
      </c>
      <c r="M5" s="94" t="s">
        <v>61</v>
      </c>
      <c r="N5" s="94" t="s">
        <v>61</v>
      </c>
      <c r="O5" s="5"/>
    </row>
    <row r="6" spans="1:15" x14ac:dyDescent="0.2">
      <c r="A6" s="5" t="s">
        <v>0</v>
      </c>
      <c r="B6" s="91">
        <v>2807</v>
      </c>
      <c r="C6" s="91">
        <v>2461</v>
      </c>
      <c r="D6" s="91">
        <v>7734</v>
      </c>
      <c r="E6" s="91">
        <v>7089</v>
      </c>
      <c r="F6" s="91">
        <v>96</v>
      </c>
      <c r="G6" s="91">
        <v>137</v>
      </c>
      <c r="H6" s="91">
        <v>202572.30300000001</v>
      </c>
      <c r="I6" s="91">
        <v>249218</v>
      </c>
      <c r="J6" s="91">
        <v>17134</v>
      </c>
      <c r="K6" s="91">
        <v>14612</v>
      </c>
      <c r="L6" s="91">
        <v>7672</v>
      </c>
      <c r="M6" s="91">
        <v>150847</v>
      </c>
      <c r="N6" s="96">
        <v>432035</v>
      </c>
      <c r="O6" s="5"/>
    </row>
    <row r="7" spans="1:15" x14ac:dyDescent="0.2">
      <c r="A7" s="5" t="s">
        <v>1</v>
      </c>
      <c r="B7" s="91" t="s">
        <v>28</v>
      </c>
      <c r="C7" s="91" t="s">
        <v>28</v>
      </c>
      <c r="D7" s="91">
        <v>25</v>
      </c>
      <c r="E7" s="91">
        <v>66</v>
      </c>
      <c r="F7" s="91" t="s">
        <v>28</v>
      </c>
      <c r="G7" s="91" t="s">
        <v>28</v>
      </c>
      <c r="H7" s="91">
        <v>3943.223</v>
      </c>
      <c r="I7" s="91">
        <v>8761</v>
      </c>
      <c r="J7" s="91">
        <v>462</v>
      </c>
      <c r="K7" s="91">
        <v>959</v>
      </c>
      <c r="L7" s="91">
        <v>3</v>
      </c>
      <c r="M7" s="91">
        <v>63</v>
      </c>
      <c r="N7" s="96">
        <v>9851</v>
      </c>
      <c r="O7" s="5"/>
    </row>
    <row r="8" spans="1:15" x14ac:dyDescent="0.2">
      <c r="A8" s="5" t="s">
        <v>2</v>
      </c>
      <c r="B8" s="91" t="s">
        <v>28</v>
      </c>
      <c r="C8" s="91" t="s">
        <v>28</v>
      </c>
      <c r="D8" s="91" t="s">
        <v>28</v>
      </c>
      <c r="E8" s="91" t="s">
        <v>28</v>
      </c>
      <c r="F8" s="91" t="s">
        <v>28</v>
      </c>
      <c r="G8" s="91" t="s">
        <v>28</v>
      </c>
      <c r="H8" s="91">
        <v>9797.4249999999993</v>
      </c>
      <c r="I8" s="91">
        <v>15036</v>
      </c>
      <c r="J8" s="91">
        <v>763</v>
      </c>
      <c r="K8" s="91">
        <v>1444</v>
      </c>
      <c r="L8" s="91">
        <v>89</v>
      </c>
      <c r="M8" s="91">
        <v>4772</v>
      </c>
      <c r="N8" s="96">
        <v>21340</v>
      </c>
      <c r="O8" s="5"/>
    </row>
    <row r="9" spans="1:15" x14ac:dyDescent="0.2">
      <c r="A9" s="5" t="s">
        <v>3</v>
      </c>
      <c r="B9" s="91" t="s">
        <v>28</v>
      </c>
      <c r="C9" s="91" t="s">
        <v>28</v>
      </c>
      <c r="D9" s="91">
        <v>100</v>
      </c>
      <c r="E9" s="91">
        <v>134</v>
      </c>
      <c r="F9" s="91">
        <v>1000</v>
      </c>
      <c r="G9" s="91">
        <v>917</v>
      </c>
      <c r="H9" s="91">
        <v>181.49100000000001</v>
      </c>
      <c r="I9" s="91">
        <v>521</v>
      </c>
      <c r="J9" s="91">
        <v>657</v>
      </c>
      <c r="K9" s="91">
        <v>389</v>
      </c>
      <c r="L9" s="91">
        <v>154</v>
      </c>
      <c r="M9" s="91">
        <v>852</v>
      </c>
      <c r="N9" s="96">
        <v>2968</v>
      </c>
      <c r="O9" s="5"/>
    </row>
    <row r="10" spans="1:15" x14ac:dyDescent="0.2">
      <c r="A10" s="5" t="s">
        <v>86</v>
      </c>
      <c r="B10" s="91" t="s">
        <v>28</v>
      </c>
      <c r="C10" s="91" t="s">
        <v>28</v>
      </c>
      <c r="D10" s="91">
        <v>8</v>
      </c>
      <c r="E10" s="91">
        <v>30</v>
      </c>
      <c r="F10" s="91" t="s">
        <v>28</v>
      </c>
      <c r="G10" s="91" t="s">
        <v>28</v>
      </c>
      <c r="H10" s="91">
        <v>1823.1790000000001</v>
      </c>
      <c r="I10" s="91">
        <v>7670</v>
      </c>
      <c r="J10" s="91">
        <v>334</v>
      </c>
      <c r="K10" s="91">
        <v>109</v>
      </c>
      <c r="L10" s="91">
        <v>887</v>
      </c>
      <c r="M10" s="91">
        <v>6675</v>
      </c>
      <c r="N10" s="96">
        <v>15371</v>
      </c>
      <c r="O10" s="5"/>
    </row>
    <row r="11" spans="1:15" x14ac:dyDescent="0.2">
      <c r="A11" s="5" t="s">
        <v>4</v>
      </c>
      <c r="B11" s="91">
        <v>321</v>
      </c>
      <c r="C11" s="91">
        <v>468</v>
      </c>
      <c r="D11" s="91">
        <v>20262</v>
      </c>
      <c r="E11" s="91">
        <v>28557</v>
      </c>
      <c r="F11" s="91">
        <v>1852</v>
      </c>
      <c r="G11" s="91">
        <v>1554</v>
      </c>
      <c r="H11" s="91">
        <v>2930.4380000000001</v>
      </c>
      <c r="I11" s="91">
        <v>3745</v>
      </c>
      <c r="J11" s="91">
        <v>152</v>
      </c>
      <c r="K11" s="91">
        <v>192</v>
      </c>
      <c r="L11" s="91">
        <v>250</v>
      </c>
      <c r="M11" s="91">
        <v>3807</v>
      </c>
      <c r="N11" s="96">
        <v>38572</v>
      </c>
      <c r="O11" s="5"/>
    </row>
    <row r="12" spans="1:15" x14ac:dyDescent="0.2">
      <c r="A12" s="5" t="s">
        <v>40</v>
      </c>
      <c r="B12" s="91" t="s">
        <v>28</v>
      </c>
      <c r="C12" s="91" t="s">
        <v>28</v>
      </c>
      <c r="D12" s="91">
        <v>1408</v>
      </c>
      <c r="E12" s="91">
        <v>1443</v>
      </c>
      <c r="F12" s="91" t="s">
        <v>28</v>
      </c>
      <c r="G12" s="91" t="s">
        <v>28</v>
      </c>
      <c r="H12" s="91">
        <v>42834.476000000002</v>
      </c>
      <c r="I12" s="91">
        <v>56798</v>
      </c>
      <c r="J12" s="91">
        <v>15930</v>
      </c>
      <c r="K12" s="91">
        <v>8751</v>
      </c>
      <c r="L12" s="91">
        <v>114640</v>
      </c>
      <c r="M12" s="91">
        <v>53314</v>
      </c>
      <c r="N12" s="96">
        <v>234947</v>
      </c>
      <c r="O12" s="5"/>
    </row>
    <row r="13" spans="1:15" x14ac:dyDescent="0.2">
      <c r="A13" s="5" t="s">
        <v>5</v>
      </c>
      <c r="B13" s="91" t="s">
        <v>28</v>
      </c>
      <c r="C13" s="91" t="s">
        <v>28</v>
      </c>
      <c r="D13" s="91" t="s">
        <v>28</v>
      </c>
      <c r="E13" s="91" t="s">
        <v>28</v>
      </c>
      <c r="F13" s="91" t="s">
        <v>28</v>
      </c>
      <c r="G13" s="91" t="s">
        <v>28</v>
      </c>
      <c r="H13" s="91">
        <v>44.704000000000001</v>
      </c>
      <c r="I13" s="91">
        <v>146</v>
      </c>
      <c r="J13" s="91">
        <v>4</v>
      </c>
      <c r="K13" s="91">
        <v>1</v>
      </c>
      <c r="L13" s="91">
        <v>2258</v>
      </c>
      <c r="M13" s="91">
        <v>3499</v>
      </c>
      <c r="N13" s="96">
        <v>5903</v>
      </c>
      <c r="O13" s="5"/>
    </row>
    <row r="14" spans="1:15" x14ac:dyDescent="0.2">
      <c r="A14" s="5" t="s">
        <v>6</v>
      </c>
      <c r="B14" s="91" t="s">
        <v>28</v>
      </c>
      <c r="C14" s="91" t="s">
        <v>28</v>
      </c>
      <c r="D14" s="91">
        <v>1765</v>
      </c>
      <c r="E14" s="91">
        <v>1931</v>
      </c>
      <c r="F14" s="91" t="s">
        <v>28</v>
      </c>
      <c r="G14" s="91" t="s">
        <v>28</v>
      </c>
      <c r="H14" s="91">
        <v>5.3999999999999999E-2</v>
      </c>
      <c r="I14" s="91" t="s">
        <v>28</v>
      </c>
      <c r="J14" s="91">
        <v>342</v>
      </c>
      <c r="K14" s="91">
        <v>522</v>
      </c>
      <c r="L14" s="91">
        <v>161</v>
      </c>
      <c r="M14" s="91">
        <v>297</v>
      </c>
      <c r="N14" s="96">
        <v>2911</v>
      </c>
      <c r="O14" s="5"/>
    </row>
    <row r="15" spans="1:15" x14ac:dyDescent="0.2">
      <c r="A15" s="5" t="s">
        <v>7</v>
      </c>
      <c r="B15" s="91" t="s">
        <v>28</v>
      </c>
      <c r="C15" s="91" t="s">
        <v>28</v>
      </c>
      <c r="D15" s="91" t="s">
        <v>28</v>
      </c>
      <c r="E15" s="91" t="s">
        <v>28</v>
      </c>
      <c r="F15" s="91" t="s">
        <v>28</v>
      </c>
      <c r="G15" s="91" t="s">
        <v>28</v>
      </c>
      <c r="H15" s="91">
        <v>29444.018</v>
      </c>
      <c r="I15" s="91">
        <v>41034</v>
      </c>
      <c r="J15" s="91">
        <v>140</v>
      </c>
      <c r="K15" s="91">
        <v>433</v>
      </c>
      <c r="L15" s="91">
        <v>9</v>
      </c>
      <c r="M15" s="91">
        <v>922</v>
      </c>
      <c r="N15" s="96">
        <v>42397</v>
      </c>
      <c r="O15" s="5"/>
    </row>
    <row r="16" spans="1:15" x14ac:dyDescent="0.2">
      <c r="A16" s="5" t="s">
        <v>8</v>
      </c>
      <c r="B16" s="91" t="s">
        <v>28</v>
      </c>
      <c r="C16" s="91" t="s">
        <v>28</v>
      </c>
      <c r="D16" s="91">
        <v>225</v>
      </c>
      <c r="E16" s="91">
        <v>357</v>
      </c>
      <c r="F16" s="91" t="s">
        <v>28</v>
      </c>
      <c r="G16" s="91" t="s">
        <v>28</v>
      </c>
      <c r="H16" s="91">
        <v>2597.8519999999999</v>
      </c>
      <c r="I16" s="91">
        <v>6917</v>
      </c>
      <c r="J16" s="91">
        <v>112</v>
      </c>
      <c r="K16" s="91">
        <v>191</v>
      </c>
      <c r="L16" s="91">
        <v>1001</v>
      </c>
      <c r="M16" s="91">
        <v>31024</v>
      </c>
      <c r="N16" s="96">
        <v>39489</v>
      </c>
      <c r="O16" s="5"/>
    </row>
    <row r="17" spans="1:15" x14ac:dyDescent="0.2">
      <c r="A17" s="5" t="s">
        <v>9</v>
      </c>
      <c r="B17" s="91" t="s">
        <v>28</v>
      </c>
      <c r="C17" s="91" t="s">
        <v>28</v>
      </c>
      <c r="D17" s="91">
        <v>8</v>
      </c>
      <c r="E17" s="91">
        <v>9</v>
      </c>
      <c r="F17" s="91">
        <v>70</v>
      </c>
      <c r="G17" s="91">
        <v>244</v>
      </c>
      <c r="H17" s="91">
        <v>21664.016</v>
      </c>
      <c r="I17" s="91">
        <v>41572</v>
      </c>
      <c r="J17" s="91">
        <v>2952</v>
      </c>
      <c r="K17" s="91">
        <v>1669</v>
      </c>
      <c r="L17" s="91">
        <v>1953</v>
      </c>
      <c r="M17" s="91">
        <v>21234</v>
      </c>
      <c r="N17" s="96">
        <v>66683</v>
      </c>
      <c r="O17" s="5"/>
    </row>
    <row r="18" spans="1:15" x14ac:dyDescent="0.2">
      <c r="A18" s="5" t="s">
        <v>41</v>
      </c>
      <c r="B18" s="91" t="s">
        <v>28</v>
      </c>
      <c r="C18" s="91" t="s">
        <v>28</v>
      </c>
      <c r="D18" s="91">
        <v>161</v>
      </c>
      <c r="E18" s="91">
        <v>77</v>
      </c>
      <c r="F18" s="91">
        <v>996</v>
      </c>
      <c r="G18" s="91">
        <v>1138</v>
      </c>
      <c r="H18" s="91">
        <v>66.084999999999994</v>
      </c>
      <c r="I18" s="91">
        <v>250</v>
      </c>
      <c r="J18" s="91" t="s">
        <v>28</v>
      </c>
      <c r="K18" s="91" t="s">
        <v>28</v>
      </c>
      <c r="L18" s="91">
        <v>283</v>
      </c>
      <c r="M18" s="91">
        <v>2268</v>
      </c>
      <c r="N18" s="96">
        <v>4016</v>
      </c>
      <c r="O18" s="5"/>
    </row>
    <row r="19" spans="1:15" x14ac:dyDescent="0.2">
      <c r="A19" s="5" t="s">
        <v>10</v>
      </c>
      <c r="B19" s="91" t="s">
        <v>28</v>
      </c>
      <c r="C19" s="91" t="s">
        <v>28</v>
      </c>
      <c r="D19" s="91">
        <v>88</v>
      </c>
      <c r="E19" s="91">
        <v>119</v>
      </c>
      <c r="F19" s="91" t="s">
        <v>28</v>
      </c>
      <c r="G19" s="91" t="s">
        <v>28</v>
      </c>
      <c r="H19" s="91">
        <v>80.465999999999994</v>
      </c>
      <c r="I19" s="91">
        <v>202</v>
      </c>
      <c r="J19" s="91">
        <v>3</v>
      </c>
      <c r="K19" s="91" t="s">
        <v>28</v>
      </c>
      <c r="L19" s="91">
        <v>1340</v>
      </c>
      <c r="M19" s="91">
        <v>1448</v>
      </c>
      <c r="N19" s="96">
        <v>3109</v>
      </c>
      <c r="O19" s="5"/>
    </row>
    <row r="20" spans="1:15" x14ac:dyDescent="0.2">
      <c r="A20" s="5" t="s">
        <v>11</v>
      </c>
      <c r="B20" s="91">
        <v>4</v>
      </c>
      <c r="C20" s="91">
        <v>1</v>
      </c>
      <c r="D20" s="91">
        <v>6786</v>
      </c>
      <c r="E20" s="91">
        <v>10856</v>
      </c>
      <c r="F20" s="91" t="s">
        <v>28</v>
      </c>
      <c r="G20" s="91" t="s">
        <v>28</v>
      </c>
      <c r="H20" s="91">
        <v>39652.966</v>
      </c>
      <c r="I20" s="91">
        <v>53379</v>
      </c>
      <c r="J20" s="91">
        <v>1423</v>
      </c>
      <c r="K20" s="91">
        <v>2102</v>
      </c>
      <c r="L20" s="91">
        <v>11543</v>
      </c>
      <c r="M20" s="91">
        <v>23775</v>
      </c>
      <c r="N20" s="96">
        <v>101657</v>
      </c>
      <c r="O20" s="5"/>
    </row>
    <row r="21" spans="1:15" x14ac:dyDescent="0.2">
      <c r="A21" s="5" t="s">
        <v>12</v>
      </c>
      <c r="B21" s="91">
        <v>351</v>
      </c>
      <c r="C21" s="91">
        <v>400</v>
      </c>
      <c r="D21" s="91">
        <v>517</v>
      </c>
      <c r="E21" s="91">
        <v>554</v>
      </c>
      <c r="F21" s="91" t="s">
        <v>28</v>
      </c>
      <c r="G21" s="91" t="s">
        <v>28</v>
      </c>
      <c r="H21" s="91">
        <v>4154.3639999999996</v>
      </c>
      <c r="I21" s="91">
        <v>7802</v>
      </c>
      <c r="J21" s="91">
        <v>2145</v>
      </c>
      <c r="K21" s="91">
        <v>1464</v>
      </c>
      <c r="L21" s="91">
        <v>10299</v>
      </c>
      <c r="M21" s="91">
        <v>6843</v>
      </c>
      <c r="N21" s="96">
        <v>27362</v>
      </c>
      <c r="O21" s="5"/>
    </row>
    <row r="22" spans="1:15" x14ac:dyDescent="0.2">
      <c r="A22" s="5" t="s">
        <v>13</v>
      </c>
      <c r="B22" s="91" t="s">
        <v>28</v>
      </c>
      <c r="C22" s="91" t="s">
        <v>28</v>
      </c>
      <c r="D22" s="91" t="s">
        <v>28</v>
      </c>
      <c r="E22" s="91" t="s">
        <v>28</v>
      </c>
      <c r="F22" s="91" t="s">
        <v>28</v>
      </c>
      <c r="G22" s="91" t="s">
        <v>28</v>
      </c>
      <c r="H22" s="91">
        <v>25456.244999999999</v>
      </c>
      <c r="I22" s="91">
        <v>43967</v>
      </c>
      <c r="J22" s="91" t="s">
        <v>28</v>
      </c>
      <c r="K22" s="91" t="s">
        <v>28</v>
      </c>
      <c r="L22" s="91">
        <v>640</v>
      </c>
      <c r="M22" s="91">
        <v>1785</v>
      </c>
      <c r="N22" s="96">
        <v>46393</v>
      </c>
      <c r="O22" s="5"/>
    </row>
    <row r="23" spans="1:15" x14ac:dyDescent="0.2">
      <c r="A23" s="5" t="s">
        <v>42</v>
      </c>
      <c r="B23" s="91" t="s">
        <v>28</v>
      </c>
      <c r="C23" s="91" t="s">
        <v>28</v>
      </c>
      <c r="D23" s="91">
        <v>14</v>
      </c>
      <c r="E23" s="91">
        <v>1</v>
      </c>
      <c r="F23" s="91" t="s">
        <v>28</v>
      </c>
      <c r="G23" s="91" t="s">
        <v>28</v>
      </c>
      <c r="H23" s="91">
        <v>27180.579000000002</v>
      </c>
      <c r="I23" s="91">
        <v>36172</v>
      </c>
      <c r="J23" s="91">
        <v>66</v>
      </c>
      <c r="K23" s="91">
        <v>78</v>
      </c>
      <c r="L23" s="91">
        <v>346</v>
      </c>
      <c r="M23" s="91">
        <v>2703</v>
      </c>
      <c r="N23" s="96">
        <v>39301</v>
      </c>
      <c r="O23" s="5"/>
    </row>
    <row r="24" spans="1:15" x14ac:dyDescent="0.2">
      <c r="A24" s="5" t="s">
        <v>14</v>
      </c>
      <c r="B24" s="91" t="s">
        <v>28</v>
      </c>
      <c r="C24" s="91" t="s">
        <v>28</v>
      </c>
      <c r="D24" s="91">
        <v>846</v>
      </c>
      <c r="E24" s="91">
        <v>1437</v>
      </c>
      <c r="F24" s="91" t="s">
        <v>28</v>
      </c>
      <c r="G24" s="91" t="s">
        <v>28</v>
      </c>
      <c r="H24" s="91">
        <v>4474.3280000000004</v>
      </c>
      <c r="I24" s="91">
        <v>5152</v>
      </c>
      <c r="J24" s="91">
        <v>1535</v>
      </c>
      <c r="K24" s="91">
        <v>2712</v>
      </c>
      <c r="L24" s="91">
        <v>29555</v>
      </c>
      <c r="M24" s="91">
        <v>13235</v>
      </c>
      <c r="N24" s="96">
        <v>52091</v>
      </c>
      <c r="O24" s="5"/>
    </row>
    <row r="25" spans="1:15" x14ac:dyDescent="0.2">
      <c r="A25" s="5" t="s">
        <v>15</v>
      </c>
      <c r="B25" s="91" t="s">
        <v>28</v>
      </c>
      <c r="C25" s="91" t="s">
        <v>28</v>
      </c>
      <c r="D25" s="91" t="s">
        <v>28</v>
      </c>
      <c r="E25" s="91" t="s">
        <v>28</v>
      </c>
      <c r="F25" s="91" t="s">
        <v>28</v>
      </c>
      <c r="G25" s="91" t="s">
        <v>28</v>
      </c>
      <c r="H25" s="91">
        <v>7.6459999999999999</v>
      </c>
      <c r="I25" s="91">
        <v>196</v>
      </c>
      <c r="J25" s="91" t="s">
        <v>28</v>
      </c>
      <c r="K25" s="91" t="s">
        <v>28</v>
      </c>
      <c r="L25" s="91">
        <v>103</v>
      </c>
      <c r="M25" s="91">
        <v>4874</v>
      </c>
      <c r="N25" s="96">
        <v>5173</v>
      </c>
      <c r="O25" s="5"/>
    </row>
    <row r="26" spans="1:15" x14ac:dyDescent="0.2">
      <c r="A26" s="5" t="s">
        <v>16</v>
      </c>
      <c r="B26" s="91" t="s">
        <v>28</v>
      </c>
      <c r="C26" s="91" t="s">
        <v>28</v>
      </c>
      <c r="D26" s="91" t="s">
        <v>28</v>
      </c>
      <c r="E26" s="91" t="s">
        <v>28</v>
      </c>
      <c r="F26" s="91" t="s">
        <v>28</v>
      </c>
      <c r="G26" s="91" t="s">
        <v>28</v>
      </c>
      <c r="H26" s="91">
        <v>1519.297</v>
      </c>
      <c r="I26" s="91">
        <v>3625</v>
      </c>
      <c r="J26" s="91" t="s">
        <v>28</v>
      </c>
      <c r="K26" s="91" t="s">
        <v>28</v>
      </c>
      <c r="L26" s="91">
        <v>451</v>
      </c>
      <c r="M26" s="91">
        <v>3915</v>
      </c>
      <c r="N26" s="96">
        <v>7991</v>
      </c>
      <c r="O26" s="5"/>
    </row>
    <row r="27" spans="1:15" x14ac:dyDescent="0.2">
      <c r="A27" s="5" t="s">
        <v>17</v>
      </c>
      <c r="B27" s="91" t="s">
        <v>28</v>
      </c>
      <c r="C27" s="91" t="s">
        <v>28</v>
      </c>
      <c r="D27" s="91" t="s">
        <v>28</v>
      </c>
      <c r="E27" s="91" t="s">
        <v>28</v>
      </c>
      <c r="F27" s="91" t="s">
        <v>28</v>
      </c>
      <c r="G27" s="91" t="s">
        <v>28</v>
      </c>
      <c r="H27" s="91">
        <v>256.661</v>
      </c>
      <c r="I27" s="91">
        <v>505</v>
      </c>
      <c r="J27" s="91" t="s">
        <v>28</v>
      </c>
      <c r="K27" s="91" t="s">
        <v>28</v>
      </c>
      <c r="L27" s="91">
        <v>1993</v>
      </c>
      <c r="M27" s="91">
        <v>103</v>
      </c>
      <c r="N27" s="96">
        <v>2601</v>
      </c>
      <c r="O27" s="5"/>
    </row>
    <row r="28" spans="1:15" x14ac:dyDescent="0.2">
      <c r="A28" s="5" t="s">
        <v>18</v>
      </c>
      <c r="B28" s="91">
        <v>364</v>
      </c>
      <c r="C28" s="91">
        <v>195</v>
      </c>
      <c r="D28" s="91">
        <v>2154</v>
      </c>
      <c r="E28" s="91">
        <v>2024</v>
      </c>
      <c r="F28" s="91" t="s">
        <v>28</v>
      </c>
      <c r="G28" s="91" t="s">
        <v>28</v>
      </c>
      <c r="H28" s="91" t="s">
        <v>28</v>
      </c>
      <c r="I28" s="91" t="s">
        <v>28</v>
      </c>
      <c r="J28" s="91">
        <v>198</v>
      </c>
      <c r="K28" s="91">
        <v>319</v>
      </c>
      <c r="L28" s="91">
        <v>62</v>
      </c>
      <c r="M28" s="91" t="s">
        <v>28</v>
      </c>
      <c r="N28" s="96">
        <v>2601</v>
      </c>
      <c r="O28" s="5"/>
    </row>
    <row r="29" spans="1:15" x14ac:dyDescent="0.2">
      <c r="A29" s="5" t="s">
        <v>19</v>
      </c>
      <c r="B29" s="91" t="s">
        <v>28</v>
      </c>
      <c r="C29" s="91" t="s">
        <v>28</v>
      </c>
      <c r="D29" s="91" t="s">
        <v>28</v>
      </c>
      <c r="E29" s="91" t="s">
        <v>28</v>
      </c>
      <c r="F29" s="91" t="s">
        <v>28</v>
      </c>
      <c r="G29" s="91" t="s">
        <v>28</v>
      </c>
      <c r="H29" s="91">
        <v>1.2E-2</v>
      </c>
      <c r="I29" s="91" t="s">
        <v>28</v>
      </c>
      <c r="J29" s="91">
        <v>1</v>
      </c>
      <c r="K29" s="91">
        <v>1</v>
      </c>
      <c r="L29" s="91">
        <v>205</v>
      </c>
      <c r="M29" s="91">
        <v>1776</v>
      </c>
      <c r="N29" s="96">
        <v>1983</v>
      </c>
      <c r="O29" s="5"/>
    </row>
    <row r="30" spans="1:15" x14ac:dyDescent="0.2">
      <c r="A30" s="5" t="s">
        <v>20</v>
      </c>
      <c r="B30" s="91" t="s">
        <v>28</v>
      </c>
      <c r="C30" s="91" t="s">
        <v>28</v>
      </c>
      <c r="D30" s="91" t="s">
        <v>28</v>
      </c>
      <c r="E30" s="91" t="s">
        <v>28</v>
      </c>
      <c r="F30" s="91" t="s">
        <v>28</v>
      </c>
      <c r="G30" s="91" t="s">
        <v>28</v>
      </c>
      <c r="H30" s="91">
        <v>401.79300000000001</v>
      </c>
      <c r="I30" s="91">
        <v>641</v>
      </c>
      <c r="J30" s="91">
        <v>127</v>
      </c>
      <c r="K30" s="91">
        <v>41</v>
      </c>
      <c r="L30" s="91">
        <v>2</v>
      </c>
      <c r="M30" s="91">
        <v>2852</v>
      </c>
      <c r="N30" s="96">
        <v>3536</v>
      </c>
      <c r="O30" s="5"/>
    </row>
    <row r="31" spans="1:15" x14ac:dyDescent="0.2">
      <c r="A31" s="5" t="s">
        <v>21</v>
      </c>
      <c r="B31" s="91" t="s">
        <v>28</v>
      </c>
      <c r="C31" s="91" t="s">
        <v>28</v>
      </c>
      <c r="D31" s="91">
        <v>398</v>
      </c>
      <c r="E31" s="91">
        <v>609</v>
      </c>
      <c r="F31" s="91" t="s">
        <v>28</v>
      </c>
      <c r="G31" s="91" t="s">
        <v>28</v>
      </c>
      <c r="H31" s="91">
        <v>4409.2190000000001</v>
      </c>
      <c r="I31" s="91">
        <v>21238</v>
      </c>
      <c r="J31" s="91">
        <v>233</v>
      </c>
      <c r="K31" s="91">
        <v>248</v>
      </c>
      <c r="L31" s="91">
        <v>415</v>
      </c>
      <c r="M31" s="91">
        <v>4388</v>
      </c>
      <c r="N31" s="96">
        <v>26898</v>
      </c>
      <c r="O31" s="5"/>
    </row>
    <row r="32" spans="1:15" x14ac:dyDescent="0.2">
      <c r="A32" s="5" t="s">
        <v>22</v>
      </c>
      <c r="B32" s="91" t="s">
        <v>28</v>
      </c>
      <c r="C32" s="91" t="s">
        <v>28</v>
      </c>
      <c r="D32" s="91">
        <v>16</v>
      </c>
      <c r="E32" s="91">
        <v>23</v>
      </c>
      <c r="F32" s="91" t="s">
        <v>28</v>
      </c>
      <c r="G32" s="91" t="s">
        <v>28</v>
      </c>
      <c r="H32" s="91">
        <v>27070.395</v>
      </c>
      <c r="I32" s="91">
        <v>33951</v>
      </c>
      <c r="J32" s="91">
        <v>1799</v>
      </c>
      <c r="K32" s="91">
        <v>470</v>
      </c>
      <c r="L32" s="91">
        <v>183</v>
      </c>
      <c r="M32" s="91">
        <v>391</v>
      </c>
      <c r="N32" s="96">
        <v>35018</v>
      </c>
      <c r="O32" s="5"/>
    </row>
    <row r="33" spans="1:15" x14ac:dyDescent="0.2">
      <c r="A33" s="5" t="s">
        <v>23</v>
      </c>
      <c r="B33" s="91" t="s">
        <v>28</v>
      </c>
      <c r="C33" s="91" t="s">
        <v>28</v>
      </c>
      <c r="D33" s="91" t="s">
        <v>28</v>
      </c>
      <c r="E33" s="91" t="s">
        <v>28</v>
      </c>
      <c r="F33" s="91" t="s">
        <v>28</v>
      </c>
      <c r="G33" s="91" t="s">
        <v>28</v>
      </c>
      <c r="H33" s="91">
        <v>616.53700000000003</v>
      </c>
      <c r="I33" s="91">
        <v>2946</v>
      </c>
      <c r="J33" s="91" t="s">
        <v>28</v>
      </c>
      <c r="K33" s="91">
        <v>4</v>
      </c>
      <c r="L33" s="91">
        <v>158</v>
      </c>
      <c r="M33" s="91">
        <v>1369</v>
      </c>
      <c r="N33" s="96">
        <v>4478</v>
      </c>
      <c r="O33" s="5"/>
    </row>
    <row r="34" spans="1:15" x14ac:dyDescent="0.2">
      <c r="A34" s="5" t="s">
        <v>24</v>
      </c>
      <c r="B34" s="91" t="s">
        <v>28</v>
      </c>
      <c r="C34" s="91" t="s">
        <v>28</v>
      </c>
      <c r="D34" s="91">
        <v>7</v>
      </c>
      <c r="E34" s="91">
        <v>7</v>
      </c>
      <c r="F34" s="91" t="s">
        <v>28</v>
      </c>
      <c r="G34" s="91" t="s">
        <v>28</v>
      </c>
      <c r="H34" s="91">
        <v>2663.4090000000001</v>
      </c>
      <c r="I34" s="91">
        <v>5399</v>
      </c>
      <c r="J34" s="91">
        <v>152</v>
      </c>
      <c r="K34" s="91">
        <v>788</v>
      </c>
      <c r="L34" s="91">
        <v>143</v>
      </c>
      <c r="M34" s="91">
        <v>3446</v>
      </c>
      <c r="N34" s="96">
        <v>9783</v>
      </c>
      <c r="O34" s="5"/>
    </row>
    <row r="35" spans="1:15" x14ac:dyDescent="0.2">
      <c r="A35" s="5" t="s">
        <v>25</v>
      </c>
      <c r="B35" s="91" t="s">
        <v>28</v>
      </c>
      <c r="C35" s="91" t="s">
        <v>28</v>
      </c>
      <c r="D35" s="91" t="s">
        <v>28</v>
      </c>
      <c r="E35" s="91" t="s">
        <v>28</v>
      </c>
      <c r="F35" s="91" t="s">
        <v>28</v>
      </c>
      <c r="G35" s="91" t="s">
        <v>28</v>
      </c>
      <c r="H35" s="91">
        <v>72.474999999999994</v>
      </c>
      <c r="I35" s="91">
        <v>518</v>
      </c>
      <c r="J35" s="91">
        <v>10</v>
      </c>
      <c r="K35" s="91">
        <v>54</v>
      </c>
      <c r="L35" s="91">
        <v>96</v>
      </c>
      <c r="M35" s="91">
        <v>233</v>
      </c>
      <c r="N35" s="96">
        <v>900</v>
      </c>
      <c r="O35" s="5"/>
    </row>
    <row r="36" spans="1:15" x14ac:dyDescent="0.2">
      <c r="A36" s="5" t="s">
        <v>26</v>
      </c>
      <c r="B36" s="91" t="s">
        <v>28</v>
      </c>
      <c r="C36" s="91" t="s">
        <v>28</v>
      </c>
      <c r="D36" s="91">
        <v>58</v>
      </c>
      <c r="E36" s="91">
        <v>249</v>
      </c>
      <c r="F36" s="91" t="s">
        <v>28</v>
      </c>
      <c r="G36" s="91" t="s">
        <v>28</v>
      </c>
      <c r="H36" s="91">
        <v>4583.8519999999999</v>
      </c>
      <c r="I36" s="91">
        <v>7813</v>
      </c>
      <c r="J36" s="91">
        <v>135</v>
      </c>
      <c r="K36" s="91">
        <v>370</v>
      </c>
      <c r="L36" s="91">
        <v>6770</v>
      </c>
      <c r="M36" s="91">
        <v>5101</v>
      </c>
      <c r="N36" s="96">
        <v>20302</v>
      </c>
      <c r="O36" s="5"/>
    </row>
    <row r="37" spans="1:15" x14ac:dyDescent="0.2">
      <c r="A37" s="5" t="s">
        <v>45</v>
      </c>
      <c r="B37" s="91">
        <v>321</v>
      </c>
      <c r="C37" s="91">
        <v>493</v>
      </c>
      <c r="D37" s="91">
        <v>3901</v>
      </c>
      <c r="E37" s="91">
        <v>4513</v>
      </c>
      <c r="F37" s="91">
        <v>3314</v>
      </c>
      <c r="G37" s="91">
        <v>3803</v>
      </c>
      <c r="H37" s="91">
        <v>20856.705999999998</v>
      </c>
      <c r="I37" s="91">
        <v>32848</v>
      </c>
      <c r="J37" s="91">
        <v>5094</v>
      </c>
      <c r="K37" s="91">
        <v>2222</v>
      </c>
      <c r="L37" s="91">
        <v>2075</v>
      </c>
      <c r="M37" s="91">
        <v>21729</v>
      </c>
      <c r="N37" s="96">
        <v>67682</v>
      </c>
      <c r="O37" s="5"/>
    </row>
    <row r="38" spans="1:15" x14ac:dyDescent="0.2">
      <c r="A38" s="5" t="s">
        <v>46</v>
      </c>
      <c r="B38" s="91" t="s">
        <v>28</v>
      </c>
      <c r="C38" s="91" t="s">
        <v>28</v>
      </c>
      <c r="D38" s="91" t="s">
        <v>28</v>
      </c>
      <c r="E38" s="91" t="s">
        <v>28</v>
      </c>
      <c r="F38" s="91" t="s">
        <v>28</v>
      </c>
      <c r="G38" s="91" t="s">
        <v>28</v>
      </c>
      <c r="H38" s="91">
        <v>5.7220000000000004</v>
      </c>
      <c r="I38" s="91">
        <v>36</v>
      </c>
      <c r="J38" s="91" t="s">
        <v>28</v>
      </c>
      <c r="K38" s="91">
        <v>19</v>
      </c>
      <c r="L38" s="91">
        <v>33162</v>
      </c>
      <c r="M38" s="91">
        <v>2840</v>
      </c>
      <c r="N38" s="96">
        <v>36058</v>
      </c>
      <c r="O38" s="5"/>
    </row>
    <row r="39" spans="1:15" x14ac:dyDescent="0.2">
      <c r="A39" s="5" t="s">
        <v>93</v>
      </c>
      <c r="B39" s="91">
        <v>356</v>
      </c>
      <c r="C39" s="91">
        <v>314</v>
      </c>
      <c r="D39" s="91">
        <v>10277</v>
      </c>
      <c r="E39" s="91">
        <v>5525</v>
      </c>
      <c r="F39" s="91">
        <v>5</v>
      </c>
      <c r="G39" s="91">
        <v>26</v>
      </c>
      <c r="H39" s="91">
        <v>1462.796</v>
      </c>
      <c r="I39" s="91">
        <v>3434</v>
      </c>
      <c r="J39" s="91">
        <v>6928</v>
      </c>
      <c r="K39" s="91">
        <v>4881</v>
      </c>
      <c r="L39" s="91">
        <v>3009</v>
      </c>
      <c r="M39" s="91">
        <v>14221</v>
      </c>
      <c r="N39" s="96">
        <v>31412</v>
      </c>
      <c r="O39" s="5"/>
    </row>
    <row r="40" spans="1:15" x14ac:dyDescent="0.2">
      <c r="A40" s="85" t="s">
        <v>27</v>
      </c>
      <c r="B40" s="92">
        <v>4524</v>
      </c>
      <c r="C40" s="92">
        <v>4331</v>
      </c>
      <c r="D40" s="92">
        <v>56755</v>
      </c>
      <c r="E40" s="92">
        <v>65612</v>
      </c>
      <c r="F40" s="92">
        <v>7332</v>
      </c>
      <c r="G40" s="92">
        <v>7820</v>
      </c>
      <c r="H40" s="92">
        <v>482825.73200000002</v>
      </c>
      <c r="I40" s="92">
        <v>691492</v>
      </c>
      <c r="J40" s="92">
        <v>58832</v>
      </c>
      <c r="K40" s="92">
        <v>45045</v>
      </c>
      <c r="L40" s="92">
        <v>231912</v>
      </c>
      <c r="M40" s="92">
        <v>396602</v>
      </c>
      <c r="N40" s="92">
        <v>1442815</v>
      </c>
      <c r="O40" s="5"/>
    </row>
    <row r="41" spans="1:15" x14ac:dyDescent="0.2">
      <c r="A41" s="5"/>
      <c r="B41" s="5"/>
      <c r="C41" s="5"/>
      <c r="D41" s="5"/>
      <c r="E41" s="5"/>
      <c r="F41" s="5"/>
      <c r="G41" s="5"/>
      <c r="H41" s="5"/>
      <c r="I41" s="5"/>
      <c r="J41" s="5"/>
      <c r="K41" s="5"/>
      <c r="L41" s="5"/>
      <c r="M41" s="95"/>
      <c r="N41" s="5"/>
      <c r="O41" s="5"/>
    </row>
    <row r="42" spans="1:15" x14ac:dyDescent="0.2">
      <c r="A42" s="79" t="s">
        <v>48</v>
      </c>
      <c r="B42" s="5"/>
      <c r="C42" s="5"/>
      <c r="D42" s="5"/>
      <c r="E42" s="5"/>
      <c r="F42" s="5"/>
      <c r="G42" s="5"/>
      <c r="H42" s="5"/>
      <c r="I42" s="5"/>
      <c r="J42" s="5"/>
      <c r="K42" s="5"/>
      <c r="L42" s="5"/>
      <c r="M42" s="95"/>
      <c r="N42" s="5"/>
      <c r="O42" s="5"/>
    </row>
    <row r="43" spans="1:15" x14ac:dyDescent="0.2">
      <c r="A43" s="80" t="s">
        <v>49</v>
      </c>
      <c r="B43" s="5"/>
      <c r="C43" s="5"/>
      <c r="D43" s="5"/>
      <c r="E43" s="5"/>
      <c r="F43" s="5"/>
      <c r="G43" s="5"/>
      <c r="H43" s="5"/>
      <c r="I43" s="5"/>
      <c r="J43" s="5"/>
      <c r="K43" s="5"/>
      <c r="L43" s="5"/>
      <c r="M43" s="5"/>
      <c r="N43" s="5"/>
      <c r="O43" s="5"/>
    </row>
    <row r="44" spans="1:15" x14ac:dyDescent="0.2">
      <c r="A44" s="80"/>
      <c r="B44" s="5"/>
      <c r="C44" s="5"/>
      <c r="D44" s="5"/>
      <c r="E44" s="5"/>
      <c r="F44" s="5"/>
      <c r="G44" s="5"/>
      <c r="H44" s="5"/>
      <c r="I44" s="5"/>
      <c r="J44" s="5"/>
      <c r="K44" s="5"/>
      <c r="L44" s="5"/>
      <c r="M44" s="5"/>
      <c r="N44" s="5"/>
      <c r="O44" s="5"/>
    </row>
    <row r="45" spans="1:15" x14ac:dyDescent="0.2">
      <c r="A45" s="3" t="s">
        <v>37</v>
      </c>
      <c r="B45" s="5"/>
      <c r="C45" s="5"/>
      <c r="D45" s="5"/>
      <c r="E45" s="5"/>
      <c r="F45" s="5"/>
      <c r="G45" s="5"/>
      <c r="H45" s="5"/>
      <c r="I45" s="5"/>
      <c r="J45" s="5"/>
      <c r="K45" s="5"/>
      <c r="L45" s="5"/>
      <c r="M45" s="5"/>
      <c r="N45" s="5"/>
      <c r="O45" s="5"/>
    </row>
    <row r="46" spans="1:15" x14ac:dyDescent="0.2">
      <c r="A46" s="4" t="s">
        <v>54</v>
      </c>
      <c r="B46" s="5"/>
      <c r="C46" s="5"/>
      <c r="D46" s="5"/>
      <c r="E46" s="5"/>
      <c r="F46" s="5"/>
      <c r="G46" s="5"/>
      <c r="H46" s="5"/>
      <c r="I46" s="5"/>
      <c r="J46" s="5"/>
      <c r="K46" s="5"/>
      <c r="L46" s="5"/>
      <c r="M46" s="5"/>
      <c r="N46" s="5"/>
      <c r="O46" s="5"/>
    </row>
    <row r="47" spans="1:15" x14ac:dyDescent="0.2">
      <c r="A47" s="4" t="s">
        <v>55</v>
      </c>
      <c r="B47" s="5"/>
      <c r="C47" s="5"/>
      <c r="D47" s="5"/>
      <c r="E47" s="5"/>
      <c r="F47" s="5"/>
      <c r="G47" s="5"/>
      <c r="H47" s="5"/>
      <c r="I47" s="5"/>
      <c r="J47" s="5"/>
      <c r="K47" s="5"/>
      <c r="L47" s="5"/>
      <c r="M47" s="5"/>
      <c r="N47" s="5"/>
      <c r="O47" s="5"/>
    </row>
    <row r="48" spans="1:15" x14ac:dyDescent="0.2">
      <c r="A48" s="4" t="s">
        <v>56</v>
      </c>
      <c r="B48" s="5"/>
      <c r="C48" s="5"/>
      <c r="D48" s="5"/>
      <c r="E48" s="5"/>
      <c r="F48" s="5"/>
      <c r="G48" s="5"/>
      <c r="H48" s="5"/>
      <c r="I48" s="5"/>
      <c r="J48" s="5"/>
      <c r="K48" s="5"/>
      <c r="L48" s="5"/>
      <c r="M48" s="5"/>
      <c r="N48" s="5"/>
      <c r="O48" s="5"/>
    </row>
    <row r="49" spans="1:1" x14ac:dyDescent="0.2">
      <c r="A49" s="4" t="s">
        <v>67</v>
      </c>
    </row>
    <row r="50" spans="1:1" x14ac:dyDescent="0.2">
      <c r="A50" s="4" t="s">
        <v>68</v>
      </c>
    </row>
    <row r="51" spans="1:1" x14ac:dyDescent="0.2">
      <c r="A51" s="4" t="s">
        <v>72</v>
      </c>
    </row>
    <row r="52" spans="1:1" x14ac:dyDescent="0.2">
      <c r="A52" s="4" t="s">
        <v>73</v>
      </c>
    </row>
    <row r="53" spans="1:1" x14ac:dyDescent="0.2">
      <c r="A53" s="4" t="s">
        <v>74</v>
      </c>
    </row>
    <row r="54" spans="1:1" x14ac:dyDescent="0.2">
      <c r="A54" s="82"/>
    </row>
    <row r="55" spans="1:1" x14ac:dyDescent="0.2">
      <c r="A55" s="3" t="s">
        <v>50</v>
      </c>
    </row>
    <row r="56" spans="1:1" x14ac:dyDescent="0.2">
      <c r="A56" s="81" t="s">
        <v>51</v>
      </c>
    </row>
  </sheetData>
  <mergeCells count="6">
    <mergeCell ref="H3:I3"/>
    <mergeCell ref="J3:K3"/>
    <mergeCell ref="A3:A5"/>
    <mergeCell ref="B3:C3"/>
    <mergeCell ref="D3:E3"/>
    <mergeCell ref="F3:G3"/>
  </mergeCells>
  <phoneticPr fontId="2" type="noConversion"/>
  <pageMargins left="0.49" right="0.75" top="0.24" bottom="0.22" header="0.16" footer="0.17"/>
  <pageSetup paperSize="9" scale="78"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56"/>
  <sheetViews>
    <sheetView workbookViewId="0"/>
  </sheetViews>
  <sheetFormatPr defaultRowHeight="12.75" x14ac:dyDescent="0.2"/>
  <cols>
    <col min="1" max="1" width="21.28515625" customWidth="1"/>
    <col min="4" max="4" width="8.42578125" bestFit="1" customWidth="1"/>
    <col min="5" max="5" width="7.7109375" bestFit="1" customWidth="1"/>
    <col min="7" max="7" width="7.7109375" bestFit="1" customWidth="1"/>
    <col min="9" max="9" width="7.7109375" bestFit="1" customWidth="1"/>
    <col min="11" max="11" width="7.7109375" bestFit="1" customWidth="1"/>
    <col min="12" max="12" width="12.140625" customWidth="1"/>
    <col min="13" max="13" width="13" customWidth="1"/>
    <col min="14" max="14" width="11.7109375" customWidth="1"/>
  </cols>
  <sheetData>
    <row r="1" spans="1:15" ht="16.5" x14ac:dyDescent="0.2">
      <c r="A1" s="76" t="s">
        <v>94</v>
      </c>
    </row>
    <row r="3" spans="1:15" ht="28.5" customHeight="1" x14ac:dyDescent="0.2">
      <c r="A3" s="171" t="s">
        <v>38</v>
      </c>
      <c r="B3" s="170" t="s">
        <v>36</v>
      </c>
      <c r="C3" s="170"/>
      <c r="D3" s="173" t="s">
        <v>90</v>
      </c>
      <c r="E3" s="174"/>
      <c r="F3" s="170" t="s">
        <v>35</v>
      </c>
      <c r="G3" s="170"/>
      <c r="H3" s="170" t="s">
        <v>91</v>
      </c>
      <c r="I3" s="170"/>
      <c r="J3" s="170" t="s">
        <v>70</v>
      </c>
      <c r="K3" s="170"/>
      <c r="L3" s="93" t="s">
        <v>92</v>
      </c>
      <c r="M3" s="93" t="s">
        <v>71</v>
      </c>
      <c r="N3" s="93" t="s">
        <v>34</v>
      </c>
      <c r="O3" s="5"/>
    </row>
    <row r="4" spans="1:15" x14ac:dyDescent="0.2">
      <c r="A4" s="171"/>
      <c r="B4" s="3" t="s">
        <v>59</v>
      </c>
      <c r="C4" s="3" t="s">
        <v>57</v>
      </c>
      <c r="D4" s="3" t="s">
        <v>69</v>
      </c>
      <c r="E4" s="3" t="s">
        <v>57</v>
      </c>
      <c r="F4" s="3" t="s">
        <v>58</v>
      </c>
      <c r="G4" s="3" t="s">
        <v>57</v>
      </c>
      <c r="H4" s="3" t="s">
        <v>58</v>
      </c>
      <c r="I4" s="3" t="s">
        <v>57</v>
      </c>
      <c r="J4" s="3" t="s">
        <v>58</v>
      </c>
      <c r="K4" s="3" t="s">
        <v>57</v>
      </c>
      <c r="L4" s="3" t="s">
        <v>57</v>
      </c>
      <c r="M4" s="3" t="s">
        <v>57</v>
      </c>
      <c r="N4" s="3" t="s">
        <v>57</v>
      </c>
      <c r="O4" s="5"/>
    </row>
    <row r="5" spans="1:15" x14ac:dyDescent="0.2">
      <c r="A5" s="172"/>
      <c r="B5" s="94" t="s">
        <v>87</v>
      </c>
      <c r="C5" s="94" t="s">
        <v>61</v>
      </c>
      <c r="D5" s="94" t="s">
        <v>88</v>
      </c>
      <c r="E5" s="94" t="s">
        <v>61</v>
      </c>
      <c r="F5" s="94" t="s">
        <v>63</v>
      </c>
      <c r="G5" s="94" t="s">
        <v>61</v>
      </c>
      <c r="H5" s="94" t="s">
        <v>63</v>
      </c>
      <c r="I5" s="94" t="s">
        <v>61</v>
      </c>
      <c r="J5" s="94" t="s">
        <v>89</v>
      </c>
      <c r="K5" s="94" t="s">
        <v>61</v>
      </c>
      <c r="L5" s="94" t="s">
        <v>61</v>
      </c>
      <c r="M5" s="94" t="s">
        <v>61</v>
      </c>
      <c r="N5" s="94" t="s">
        <v>61</v>
      </c>
      <c r="O5" s="5"/>
    </row>
    <row r="6" spans="1:15" x14ac:dyDescent="0.2">
      <c r="A6" s="5" t="s">
        <v>0</v>
      </c>
      <c r="B6" s="91">
        <v>3005</v>
      </c>
      <c r="C6" s="91">
        <v>2457</v>
      </c>
      <c r="D6" s="91">
        <v>9411</v>
      </c>
      <c r="E6" s="91">
        <v>7151</v>
      </c>
      <c r="F6" s="91">
        <v>86</v>
      </c>
      <c r="G6" s="91">
        <v>119</v>
      </c>
      <c r="H6" s="91">
        <v>202072.29399999999</v>
      </c>
      <c r="I6" s="91">
        <v>242034</v>
      </c>
      <c r="J6" s="91">
        <v>9126</v>
      </c>
      <c r="K6" s="91">
        <v>8305</v>
      </c>
      <c r="L6" s="91">
        <v>9611</v>
      </c>
      <c r="M6" s="91">
        <v>162588</v>
      </c>
      <c r="N6" s="96">
        <v>432266</v>
      </c>
      <c r="O6" s="5"/>
    </row>
    <row r="7" spans="1:15" x14ac:dyDescent="0.2">
      <c r="A7" s="5" t="s">
        <v>1</v>
      </c>
      <c r="B7" s="91" t="s">
        <v>28</v>
      </c>
      <c r="C7" s="91" t="s">
        <v>28</v>
      </c>
      <c r="D7" s="91">
        <v>54</v>
      </c>
      <c r="E7" s="91">
        <v>65</v>
      </c>
      <c r="F7" s="91" t="s">
        <v>28</v>
      </c>
      <c r="G7" s="91" t="s">
        <v>28</v>
      </c>
      <c r="H7" s="91">
        <v>7150.634</v>
      </c>
      <c r="I7" s="91">
        <v>12522</v>
      </c>
      <c r="J7" s="91">
        <v>540</v>
      </c>
      <c r="K7" s="91">
        <v>537</v>
      </c>
      <c r="L7" s="91">
        <v>92</v>
      </c>
      <c r="M7" s="91">
        <v>123</v>
      </c>
      <c r="N7" s="96">
        <v>13340</v>
      </c>
      <c r="O7" s="5"/>
    </row>
    <row r="8" spans="1:15" x14ac:dyDescent="0.2">
      <c r="A8" s="5" t="s">
        <v>2</v>
      </c>
      <c r="B8" s="91" t="s">
        <v>28</v>
      </c>
      <c r="C8" s="91" t="s">
        <v>28</v>
      </c>
      <c r="D8" s="91" t="s">
        <v>28</v>
      </c>
      <c r="E8" s="91" t="s">
        <v>28</v>
      </c>
      <c r="F8" s="91" t="s">
        <v>28</v>
      </c>
      <c r="G8" s="91" t="s">
        <v>28</v>
      </c>
      <c r="H8" s="91">
        <v>7669.6620000000003</v>
      </c>
      <c r="I8" s="91">
        <v>12967</v>
      </c>
      <c r="J8" s="91">
        <v>462</v>
      </c>
      <c r="K8" s="91">
        <v>949</v>
      </c>
      <c r="L8" s="91">
        <v>88</v>
      </c>
      <c r="M8" s="91">
        <v>4040</v>
      </c>
      <c r="N8" s="96">
        <v>18045</v>
      </c>
      <c r="O8" s="5"/>
    </row>
    <row r="9" spans="1:15" x14ac:dyDescent="0.2">
      <c r="A9" s="5" t="s">
        <v>3</v>
      </c>
      <c r="B9" s="91">
        <v>17</v>
      </c>
      <c r="C9" s="91">
        <v>19</v>
      </c>
      <c r="D9" s="91">
        <v>135</v>
      </c>
      <c r="E9" s="91">
        <v>153</v>
      </c>
      <c r="F9" s="91" t="s">
        <v>28</v>
      </c>
      <c r="G9" s="91" t="s">
        <v>28</v>
      </c>
      <c r="H9" s="91">
        <v>217.596</v>
      </c>
      <c r="I9" s="91">
        <v>526</v>
      </c>
      <c r="J9" s="91">
        <v>45</v>
      </c>
      <c r="K9" s="91">
        <v>23</v>
      </c>
      <c r="L9" s="91">
        <v>233</v>
      </c>
      <c r="M9" s="91">
        <v>951</v>
      </c>
      <c r="N9" s="96">
        <v>1905</v>
      </c>
      <c r="O9" s="5"/>
    </row>
    <row r="10" spans="1:15" x14ac:dyDescent="0.2">
      <c r="A10" s="5" t="s">
        <v>4</v>
      </c>
      <c r="B10" s="91">
        <v>1184</v>
      </c>
      <c r="C10" s="91">
        <v>1327</v>
      </c>
      <c r="D10" s="91">
        <v>21355</v>
      </c>
      <c r="E10" s="91">
        <v>25626</v>
      </c>
      <c r="F10" s="91">
        <v>832</v>
      </c>
      <c r="G10" s="91">
        <v>671</v>
      </c>
      <c r="H10" s="91">
        <v>224.179</v>
      </c>
      <c r="I10" s="91">
        <v>865</v>
      </c>
      <c r="J10" s="91">
        <v>592</v>
      </c>
      <c r="K10" s="91">
        <v>579</v>
      </c>
      <c r="L10" s="91">
        <v>262</v>
      </c>
      <c r="M10" s="91">
        <v>3669</v>
      </c>
      <c r="N10" s="96">
        <v>32999</v>
      </c>
      <c r="O10" s="5"/>
    </row>
    <row r="11" spans="1:15" x14ac:dyDescent="0.2">
      <c r="A11" s="5" t="s">
        <v>40</v>
      </c>
      <c r="B11" s="91" t="s">
        <v>28</v>
      </c>
      <c r="C11" s="91" t="s">
        <v>28</v>
      </c>
      <c r="D11" s="91">
        <v>407</v>
      </c>
      <c r="E11" s="91">
        <v>511</v>
      </c>
      <c r="F11" s="91" t="s">
        <v>28</v>
      </c>
      <c r="G11" s="91" t="s">
        <v>28</v>
      </c>
      <c r="H11" s="91">
        <v>32529.417000000001</v>
      </c>
      <c r="I11" s="91">
        <v>44849</v>
      </c>
      <c r="J11" s="91">
        <v>10184</v>
      </c>
      <c r="K11" s="91">
        <v>6883</v>
      </c>
      <c r="L11" s="91">
        <v>100770</v>
      </c>
      <c r="M11" s="91">
        <v>38608</v>
      </c>
      <c r="N11" s="96">
        <v>191621</v>
      </c>
      <c r="O11" s="5"/>
    </row>
    <row r="12" spans="1:15" x14ac:dyDescent="0.2">
      <c r="A12" s="5" t="s">
        <v>5</v>
      </c>
      <c r="B12" s="91" t="s">
        <v>28</v>
      </c>
      <c r="C12" s="91" t="s">
        <v>28</v>
      </c>
      <c r="D12" s="91" t="s">
        <v>28</v>
      </c>
      <c r="E12" s="91" t="s">
        <v>28</v>
      </c>
      <c r="F12" s="91" t="s">
        <v>28</v>
      </c>
      <c r="G12" s="91" t="s">
        <v>28</v>
      </c>
      <c r="H12" s="91">
        <v>53.372</v>
      </c>
      <c r="I12" s="91">
        <v>150</v>
      </c>
      <c r="J12" s="91" t="s">
        <v>28</v>
      </c>
      <c r="K12" s="91" t="s">
        <v>28</v>
      </c>
      <c r="L12" s="91">
        <v>1774</v>
      </c>
      <c r="M12" s="91">
        <v>3632</v>
      </c>
      <c r="N12" s="96">
        <v>5555</v>
      </c>
      <c r="O12" s="5"/>
    </row>
    <row r="13" spans="1:15" x14ac:dyDescent="0.2">
      <c r="A13" s="5" t="s">
        <v>6</v>
      </c>
      <c r="B13" s="91">
        <v>111</v>
      </c>
      <c r="C13" s="91">
        <v>124</v>
      </c>
      <c r="D13" s="91">
        <v>2058</v>
      </c>
      <c r="E13" s="91">
        <v>2127</v>
      </c>
      <c r="F13" s="91" t="s">
        <v>28</v>
      </c>
      <c r="G13" s="91" t="s">
        <v>28</v>
      </c>
      <c r="H13" s="91">
        <v>0.95</v>
      </c>
      <c r="I13" s="91">
        <v>3</v>
      </c>
      <c r="J13" s="91">
        <v>357</v>
      </c>
      <c r="K13" s="91">
        <v>514</v>
      </c>
      <c r="L13" s="91">
        <v>290</v>
      </c>
      <c r="M13" s="91">
        <v>158</v>
      </c>
      <c r="N13" s="96">
        <v>3216</v>
      </c>
      <c r="O13" s="5"/>
    </row>
    <row r="14" spans="1:15" x14ac:dyDescent="0.2">
      <c r="A14" s="5" t="s">
        <v>7</v>
      </c>
      <c r="B14" s="91" t="s">
        <v>28</v>
      </c>
      <c r="C14" s="91" t="s">
        <v>28</v>
      </c>
      <c r="D14" s="91">
        <v>186</v>
      </c>
      <c r="E14" s="91">
        <v>92</v>
      </c>
      <c r="F14" s="91" t="s">
        <v>28</v>
      </c>
      <c r="G14" s="91" t="s">
        <v>28</v>
      </c>
      <c r="H14" s="91">
        <v>38858.887000000002</v>
      </c>
      <c r="I14" s="91">
        <v>51819</v>
      </c>
      <c r="J14" s="91">
        <v>250</v>
      </c>
      <c r="K14" s="91">
        <v>335</v>
      </c>
      <c r="L14" s="91" t="s">
        <v>28</v>
      </c>
      <c r="M14" s="91">
        <v>819</v>
      </c>
      <c r="N14" s="96">
        <v>53065</v>
      </c>
      <c r="O14" s="5"/>
    </row>
    <row r="15" spans="1:15" x14ac:dyDescent="0.2">
      <c r="A15" s="5" t="s">
        <v>8</v>
      </c>
      <c r="B15" s="91" t="s">
        <v>28</v>
      </c>
      <c r="C15" s="91" t="s">
        <v>28</v>
      </c>
      <c r="D15" s="91">
        <v>326</v>
      </c>
      <c r="E15" s="91">
        <v>479</v>
      </c>
      <c r="F15" s="91" t="s">
        <v>28</v>
      </c>
      <c r="G15" s="91" t="s">
        <v>28</v>
      </c>
      <c r="H15" s="91">
        <v>4271.8149999999996</v>
      </c>
      <c r="I15" s="91">
        <v>7347</v>
      </c>
      <c r="J15" s="91">
        <v>58</v>
      </c>
      <c r="K15" s="91">
        <v>107</v>
      </c>
      <c r="L15" s="91">
        <v>939</v>
      </c>
      <c r="M15" s="91">
        <v>27346</v>
      </c>
      <c r="N15" s="96">
        <v>36217</v>
      </c>
      <c r="O15" s="5"/>
    </row>
    <row r="16" spans="1:15" x14ac:dyDescent="0.2">
      <c r="A16" s="5" t="s">
        <v>9</v>
      </c>
      <c r="B16" s="91" t="s">
        <v>28</v>
      </c>
      <c r="C16" s="91" t="s">
        <v>28</v>
      </c>
      <c r="D16" s="91">
        <v>17</v>
      </c>
      <c r="E16" s="91">
        <v>23</v>
      </c>
      <c r="F16" s="91">
        <v>40</v>
      </c>
      <c r="G16" s="91">
        <v>146</v>
      </c>
      <c r="H16" s="91">
        <v>24190.237000000001</v>
      </c>
      <c r="I16" s="91">
        <v>43363</v>
      </c>
      <c r="J16" s="91">
        <v>403</v>
      </c>
      <c r="K16" s="91">
        <v>1994</v>
      </c>
      <c r="L16" s="91">
        <v>1278</v>
      </c>
      <c r="M16" s="91">
        <v>17806</v>
      </c>
      <c r="N16" s="96">
        <v>64609</v>
      </c>
      <c r="O16" s="5"/>
    </row>
    <row r="17" spans="1:15" x14ac:dyDescent="0.2">
      <c r="A17" s="5" t="s">
        <v>41</v>
      </c>
      <c r="B17" s="91" t="s">
        <v>28</v>
      </c>
      <c r="C17" s="91" t="s">
        <v>28</v>
      </c>
      <c r="D17" s="91">
        <v>56</v>
      </c>
      <c r="E17" s="91">
        <v>66</v>
      </c>
      <c r="F17" s="91" t="s">
        <v>28</v>
      </c>
      <c r="G17" s="91" t="s">
        <v>28</v>
      </c>
      <c r="H17" s="91">
        <v>53.511000000000003</v>
      </c>
      <c r="I17" s="91">
        <v>185</v>
      </c>
      <c r="J17" s="91">
        <v>5</v>
      </c>
      <c r="K17" s="91">
        <v>45</v>
      </c>
      <c r="L17" s="91">
        <v>536</v>
      </c>
      <c r="M17" s="91">
        <v>1879</v>
      </c>
      <c r="N17" s="96">
        <v>2711</v>
      </c>
      <c r="O17" s="5"/>
    </row>
    <row r="18" spans="1:15" x14ac:dyDescent="0.2">
      <c r="A18" s="5" t="s">
        <v>10</v>
      </c>
      <c r="B18" s="91" t="s">
        <v>28</v>
      </c>
      <c r="C18" s="91" t="s">
        <v>28</v>
      </c>
      <c r="D18" s="91">
        <v>17</v>
      </c>
      <c r="E18" s="91">
        <v>21</v>
      </c>
      <c r="F18" s="91" t="s">
        <v>28</v>
      </c>
      <c r="G18" s="91" t="s">
        <v>28</v>
      </c>
      <c r="H18" s="91">
        <v>644.86300000000006</v>
      </c>
      <c r="I18" s="91">
        <v>600</v>
      </c>
      <c r="J18" s="91">
        <v>3</v>
      </c>
      <c r="K18" s="91">
        <v>8</v>
      </c>
      <c r="L18" s="91">
        <v>1233</v>
      </c>
      <c r="M18" s="91">
        <v>1157</v>
      </c>
      <c r="N18" s="96">
        <v>3019</v>
      </c>
      <c r="O18" s="5"/>
    </row>
    <row r="19" spans="1:15" x14ac:dyDescent="0.2">
      <c r="A19" s="5" t="s">
        <v>11</v>
      </c>
      <c r="B19" s="91">
        <v>10</v>
      </c>
      <c r="C19" s="91">
        <v>2</v>
      </c>
      <c r="D19" s="91">
        <v>6934</v>
      </c>
      <c r="E19" s="91">
        <v>8418</v>
      </c>
      <c r="F19" s="91" t="s">
        <v>28</v>
      </c>
      <c r="G19" s="91" t="s">
        <v>28</v>
      </c>
      <c r="H19" s="91">
        <v>38260.190999999999</v>
      </c>
      <c r="I19" s="91">
        <v>48491</v>
      </c>
      <c r="J19" s="91">
        <v>1617</v>
      </c>
      <c r="K19" s="91">
        <v>1955</v>
      </c>
      <c r="L19" s="91">
        <v>13228</v>
      </c>
      <c r="M19" s="91">
        <v>31770</v>
      </c>
      <c r="N19" s="96">
        <v>103864</v>
      </c>
      <c r="O19" s="5"/>
    </row>
    <row r="20" spans="1:15" x14ac:dyDescent="0.2">
      <c r="A20" s="5" t="s">
        <v>12</v>
      </c>
      <c r="B20" s="91">
        <v>176</v>
      </c>
      <c r="C20" s="91">
        <v>210</v>
      </c>
      <c r="D20" s="91">
        <v>320</v>
      </c>
      <c r="E20" s="91">
        <v>198</v>
      </c>
      <c r="F20" s="91">
        <v>17</v>
      </c>
      <c r="G20" s="91">
        <v>26</v>
      </c>
      <c r="H20" s="91">
        <v>8463.7890000000007</v>
      </c>
      <c r="I20" s="91">
        <v>13337</v>
      </c>
      <c r="J20" s="91">
        <v>559</v>
      </c>
      <c r="K20" s="91">
        <v>740</v>
      </c>
      <c r="L20" s="91">
        <v>7175</v>
      </c>
      <c r="M20" s="91">
        <v>5750</v>
      </c>
      <c r="N20" s="96">
        <v>27436</v>
      </c>
      <c r="O20" s="5"/>
    </row>
    <row r="21" spans="1:15" x14ac:dyDescent="0.2">
      <c r="A21" s="5" t="s">
        <v>13</v>
      </c>
      <c r="B21" s="91" t="s">
        <v>28</v>
      </c>
      <c r="C21" s="91" t="s">
        <v>28</v>
      </c>
      <c r="D21" s="91">
        <v>3</v>
      </c>
      <c r="E21" s="91">
        <v>2</v>
      </c>
      <c r="F21" s="91" t="s">
        <v>28</v>
      </c>
      <c r="G21" s="91" t="s">
        <v>28</v>
      </c>
      <c r="H21" s="91">
        <v>20855.916000000001</v>
      </c>
      <c r="I21" s="91">
        <v>35556</v>
      </c>
      <c r="J21" s="91" t="s">
        <v>28</v>
      </c>
      <c r="K21" s="91" t="s">
        <v>28</v>
      </c>
      <c r="L21" s="91">
        <v>363</v>
      </c>
      <c r="M21" s="91">
        <v>1657</v>
      </c>
      <c r="N21" s="96">
        <v>37578</v>
      </c>
      <c r="O21" s="5"/>
    </row>
    <row r="22" spans="1:15" x14ac:dyDescent="0.2">
      <c r="A22" s="5" t="s">
        <v>42</v>
      </c>
      <c r="B22" s="91" t="s">
        <v>28</v>
      </c>
      <c r="C22" s="91" t="s">
        <v>28</v>
      </c>
      <c r="D22" s="91">
        <v>4</v>
      </c>
      <c r="E22" s="91">
        <v>2</v>
      </c>
      <c r="F22" s="91" t="s">
        <v>28</v>
      </c>
      <c r="G22" s="91" t="s">
        <v>28</v>
      </c>
      <c r="H22" s="91">
        <v>24548.537</v>
      </c>
      <c r="I22" s="91">
        <v>33953</v>
      </c>
      <c r="J22" s="91">
        <v>75</v>
      </c>
      <c r="K22" s="91">
        <v>91</v>
      </c>
      <c r="L22" s="91">
        <v>577</v>
      </c>
      <c r="M22" s="91">
        <v>1408</v>
      </c>
      <c r="N22" s="96">
        <v>36031</v>
      </c>
      <c r="O22" s="5"/>
    </row>
    <row r="23" spans="1:15" x14ac:dyDescent="0.2">
      <c r="A23" s="5" t="s">
        <v>14</v>
      </c>
      <c r="B23" s="91" t="s">
        <v>28</v>
      </c>
      <c r="C23" s="91" t="s">
        <v>28</v>
      </c>
      <c r="D23" s="91">
        <v>969</v>
      </c>
      <c r="E23" s="91">
        <v>1482</v>
      </c>
      <c r="F23" s="91" t="s">
        <v>28</v>
      </c>
      <c r="G23" s="91" t="s">
        <v>28</v>
      </c>
      <c r="H23" s="91">
        <v>4201.9170000000004</v>
      </c>
      <c r="I23" s="91">
        <v>5300</v>
      </c>
      <c r="J23" s="91">
        <v>2050</v>
      </c>
      <c r="K23" s="91">
        <v>2852</v>
      </c>
      <c r="L23" s="91">
        <v>36009</v>
      </c>
      <c r="M23" s="91">
        <v>11908</v>
      </c>
      <c r="N23" s="96">
        <v>57551</v>
      </c>
      <c r="O23" s="5"/>
    </row>
    <row r="24" spans="1:15" x14ac:dyDescent="0.2">
      <c r="A24" s="5" t="s">
        <v>15</v>
      </c>
      <c r="B24" s="91" t="s">
        <v>28</v>
      </c>
      <c r="C24" s="91" t="s">
        <v>28</v>
      </c>
      <c r="D24" s="91" t="s">
        <v>28</v>
      </c>
      <c r="E24" s="91" t="s">
        <v>28</v>
      </c>
      <c r="F24" s="91" t="s">
        <v>28</v>
      </c>
      <c r="G24" s="91" t="s">
        <v>28</v>
      </c>
      <c r="H24" s="91">
        <v>4.7949999999999999</v>
      </c>
      <c r="I24" s="91">
        <v>78</v>
      </c>
      <c r="J24" s="91" t="s">
        <v>28</v>
      </c>
      <c r="K24" s="91" t="s">
        <v>28</v>
      </c>
      <c r="L24" s="91">
        <v>48</v>
      </c>
      <c r="M24" s="91">
        <v>3041</v>
      </c>
      <c r="N24" s="96">
        <v>3167</v>
      </c>
      <c r="O24" s="5"/>
    </row>
    <row r="25" spans="1:15" x14ac:dyDescent="0.2">
      <c r="A25" s="5" t="s">
        <v>16</v>
      </c>
      <c r="B25" s="91" t="s">
        <v>28</v>
      </c>
      <c r="C25" s="91" t="s">
        <v>28</v>
      </c>
      <c r="D25" s="91" t="s">
        <v>28</v>
      </c>
      <c r="E25" s="91" t="s">
        <v>28</v>
      </c>
      <c r="F25" s="91" t="s">
        <v>28</v>
      </c>
      <c r="G25" s="91" t="s">
        <v>28</v>
      </c>
      <c r="H25" s="91">
        <v>2826.1239999999998</v>
      </c>
      <c r="I25" s="91">
        <v>5340</v>
      </c>
      <c r="J25" s="91" t="s">
        <v>28</v>
      </c>
      <c r="K25" s="91" t="s">
        <v>28</v>
      </c>
      <c r="L25" s="91">
        <v>559</v>
      </c>
      <c r="M25" s="91">
        <v>4483</v>
      </c>
      <c r="N25" s="96">
        <v>10381</v>
      </c>
      <c r="O25" s="5"/>
    </row>
    <row r="26" spans="1:15" x14ac:dyDescent="0.2">
      <c r="A26" s="5" t="s">
        <v>17</v>
      </c>
      <c r="B26" s="91" t="s">
        <v>28</v>
      </c>
      <c r="C26" s="91" t="s">
        <v>28</v>
      </c>
      <c r="D26" s="91" t="s">
        <v>28</v>
      </c>
      <c r="E26" s="91" t="s">
        <v>28</v>
      </c>
      <c r="F26" s="91" t="s">
        <v>28</v>
      </c>
      <c r="G26" s="91" t="s">
        <v>28</v>
      </c>
      <c r="H26" s="91">
        <v>276.26499999999999</v>
      </c>
      <c r="I26" s="91">
        <v>601</v>
      </c>
      <c r="J26" s="91" t="s">
        <v>28</v>
      </c>
      <c r="K26" s="91" t="s">
        <v>28</v>
      </c>
      <c r="L26" s="91">
        <v>1358</v>
      </c>
      <c r="M26" s="91">
        <v>4</v>
      </c>
      <c r="N26" s="96">
        <v>1963</v>
      </c>
      <c r="O26" s="5"/>
    </row>
    <row r="27" spans="1:15" x14ac:dyDescent="0.2">
      <c r="A27" s="5" t="s">
        <v>18</v>
      </c>
      <c r="B27" s="91">
        <v>450</v>
      </c>
      <c r="C27" s="91">
        <v>324</v>
      </c>
      <c r="D27" s="91">
        <v>2566</v>
      </c>
      <c r="E27" s="91">
        <v>2118</v>
      </c>
      <c r="F27" s="91" t="s">
        <v>28</v>
      </c>
      <c r="G27" s="91" t="s">
        <v>28</v>
      </c>
      <c r="H27" s="91" t="s">
        <v>28</v>
      </c>
      <c r="I27" s="91" t="s">
        <v>28</v>
      </c>
      <c r="J27" s="91">
        <v>75</v>
      </c>
      <c r="K27" s="91">
        <v>90</v>
      </c>
      <c r="L27" s="91">
        <v>75</v>
      </c>
      <c r="M27" s="91">
        <v>45</v>
      </c>
      <c r="N27" s="96">
        <v>2652</v>
      </c>
      <c r="O27" s="5"/>
    </row>
    <row r="28" spans="1:15" x14ac:dyDescent="0.2">
      <c r="A28" s="5" t="s">
        <v>19</v>
      </c>
      <c r="B28" s="91" t="s">
        <v>28</v>
      </c>
      <c r="C28" s="91" t="s">
        <v>28</v>
      </c>
      <c r="D28" s="91" t="s">
        <v>28</v>
      </c>
      <c r="E28" s="91" t="s">
        <v>28</v>
      </c>
      <c r="F28" s="91" t="s">
        <v>28</v>
      </c>
      <c r="G28" s="91" t="s">
        <v>28</v>
      </c>
      <c r="H28" s="91">
        <v>1.6379999999999999</v>
      </c>
      <c r="I28" s="91">
        <v>65</v>
      </c>
      <c r="J28" s="91" t="s">
        <v>28</v>
      </c>
      <c r="K28" s="91" t="s">
        <v>28</v>
      </c>
      <c r="L28" s="91">
        <v>519</v>
      </c>
      <c r="M28" s="91">
        <v>1367</v>
      </c>
      <c r="N28" s="96">
        <v>1951</v>
      </c>
      <c r="O28" s="5"/>
    </row>
    <row r="29" spans="1:15" x14ac:dyDescent="0.2">
      <c r="A29" s="5" t="s">
        <v>20</v>
      </c>
      <c r="B29" s="91" t="s">
        <v>28</v>
      </c>
      <c r="C29" s="91" t="s">
        <v>28</v>
      </c>
      <c r="D29" s="91" t="s">
        <v>28</v>
      </c>
      <c r="E29" s="91" t="s">
        <v>28</v>
      </c>
      <c r="F29" s="91" t="s">
        <v>28</v>
      </c>
      <c r="G29" s="91" t="s">
        <v>28</v>
      </c>
      <c r="H29" s="91">
        <v>222.72</v>
      </c>
      <c r="I29" s="91">
        <v>331</v>
      </c>
      <c r="J29" s="91">
        <v>18</v>
      </c>
      <c r="K29" s="91">
        <v>13</v>
      </c>
      <c r="L29" s="91">
        <v>9</v>
      </c>
      <c r="M29" s="91">
        <v>3656</v>
      </c>
      <c r="N29" s="96">
        <v>4009</v>
      </c>
      <c r="O29" s="5"/>
    </row>
    <row r="30" spans="1:15" x14ac:dyDescent="0.2">
      <c r="A30" s="5" t="s">
        <v>21</v>
      </c>
      <c r="B30" s="91" t="s">
        <v>28</v>
      </c>
      <c r="C30" s="91" t="s">
        <v>28</v>
      </c>
      <c r="D30" s="91">
        <v>19</v>
      </c>
      <c r="E30" s="91">
        <v>18</v>
      </c>
      <c r="F30" s="91" t="s">
        <v>28</v>
      </c>
      <c r="G30" s="91" t="s">
        <v>28</v>
      </c>
      <c r="H30" s="91">
        <v>4039.355</v>
      </c>
      <c r="I30" s="91">
        <v>19676</v>
      </c>
      <c r="J30" s="91">
        <v>305</v>
      </c>
      <c r="K30" s="91">
        <v>245</v>
      </c>
      <c r="L30" s="91">
        <v>570</v>
      </c>
      <c r="M30" s="91">
        <v>1920</v>
      </c>
      <c r="N30" s="96">
        <v>22428</v>
      </c>
      <c r="O30" s="5"/>
    </row>
    <row r="31" spans="1:15" x14ac:dyDescent="0.2">
      <c r="A31" s="5" t="s">
        <v>22</v>
      </c>
      <c r="B31" s="91">
        <v>18</v>
      </c>
      <c r="C31" s="91">
        <v>20</v>
      </c>
      <c r="D31" s="91">
        <v>17</v>
      </c>
      <c r="E31" s="91">
        <v>16</v>
      </c>
      <c r="F31" s="91" t="s">
        <v>28</v>
      </c>
      <c r="G31" s="91" t="s">
        <v>28</v>
      </c>
      <c r="H31" s="91">
        <v>25675.51</v>
      </c>
      <c r="I31" s="91">
        <v>30080</v>
      </c>
      <c r="J31" s="91">
        <v>611</v>
      </c>
      <c r="K31" s="91">
        <v>199</v>
      </c>
      <c r="L31" s="91">
        <v>172</v>
      </c>
      <c r="M31" s="91">
        <v>444</v>
      </c>
      <c r="N31" s="96">
        <v>30930</v>
      </c>
      <c r="O31" s="5"/>
    </row>
    <row r="32" spans="1:15" x14ac:dyDescent="0.2">
      <c r="A32" s="5" t="s">
        <v>23</v>
      </c>
      <c r="B32" s="91" t="s">
        <v>28</v>
      </c>
      <c r="C32" s="91" t="s">
        <v>28</v>
      </c>
      <c r="D32" s="91" t="s">
        <v>28</v>
      </c>
      <c r="E32" s="91" t="s">
        <v>28</v>
      </c>
      <c r="F32" s="91" t="s">
        <v>28</v>
      </c>
      <c r="G32" s="91" t="s">
        <v>28</v>
      </c>
      <c r="H32" s="91">
        <v>668.44500000000005</v>
      </c>
      <c r="I32" s="91">
        <v>2169</v>
      </c>
      <c r="J32" s="91">
        <v>16</v>
      </c>
      <c r="K32" s="91">
        <v>15</v>
      </c>
      <c r="L32" s="91">
        <v>172</v>
      </c>
      <c r="M32" s="91">
        <v>1481</v>
      </c>
      <c r="N32" s="96">
        <v>3837</v>
      </c>
      <c r="O32" s="5"/>
    </row>
    <row r="33" spans="1:15" x14ac:dyDescent="0.2">
      <c r="A33" s="5" t="s">
        <v>24</v>
      </c>
      <c r="B33" s="91" t="s">
        <v>28</v>
      </c>
      <c r="C33" s="91" t="s">
        <v>28</v>
      </c>
      <c r="D33" s="91">
        <v>4</v>
      </c>
      <c r="E33" s="91">
        <v>4</v>
      </c>
      <c r="F33" s="91">
        <v>211</v>
      </c>
      <c r="G33" s="91">
        <v>219</v>
      </c>
      <c r="H33" s="91">
        <v>10891.615</v>
      </c>
      <c r="I33" s="91">
        <v>14442</v>
      </c>
      <c r="J33" s="91">
        <v>485</v>
      </c>
      <c r="K33" s="91">
        <v>1465</v>
      </c>
      <c r="L33" s="91">
        <v>143</v>
      </c>
      <c r="M33" s="91">
        <v>3499</v>
      </c>
      <c r="N33" s="96">
        <v>19772</v>
      </c>
      <c r="O33" s="5"/>
    </row>
    <row r="34" spans="1:15" x14ac:dyDescent="0.2">
      <c r="A34" s="5" t="s">
        <v>25</v>
      </c>
      <c r="B34" s="91" t="s">
        <v>28</v>
      </c>
      <c r="C34" s="91" t="s">
        <v>28</v>
      </c>
      <c r="D34" s="91" t="s">
        <v>28</v>
      </c>
      <c r="E34" s="91" t="s">
        <v>28</v>
      </c>
      <c r="F34" s="91" t="s">
        <v>28</v>
      </c>
      <c r="G34" s="91" t="s">
        <v>28</v>
      </c>
      <c r="H34" s="91">
        <v>214.19900000000001</v>
      </c>
      <c r="I34" s="91">
        <v>1416</v>
      </c>
      <c r="J34" s="91">
        <v>3</v>
      </c>
      <c r="K34" s="91">
        <v>20</v>
      </c>
      <c r="L34" s="91">
        <v>193</v>
      </c>
      <c r="M34" s="91">
        <v>255</v>
      </c>
      <c r="N34" s="96">
        <v>1884</v>
      </c>
      <c r="O34" s="5"/>
    </row>
    <row r="35" spans="1:15" x14ac:dyDescent="0.2">
      <c r="A35" s="5" t="s">
        <v>26</v>
      </c>
      <c r="B35" s="91" t="s">
        <v>28</v>
      </c>
      <c r="C35" s="91" t="s">
        <v>28</v>
      </c>
      <c r="D35" s="91">
        <v>82</v>
      </c>
      <c r="E35" s="91">
        <v>191</v>
      </c>
      <c r="F35" s="91" t="s">
        <v>28</v>
      </c>
      <c r="G35" s="91" t="s">
        <v>28</v>
      </c>
      <c r="H35" s="91">
        <v>4889.8500000000004</v>
      </c>
      <c r="I35" s="91">
        <v>8551</v>
      </c>
      <c r="J35" s="91">
        <v>1125</v>
      </c>
      <c r="K35" s="91">
        <v>702</v>
      </c>
      <c r="L35" s="91">
        <v>10284</v>
      </c>
      <c r="M35" s="91">
        <v>4974</v>
      </c>
      <c r="N35" s="96">
        <v>24701</v>
      </c>
      <c r="O35" s="5"/>
    </row>
    <row r="36" spans="1:15" x14ac:dyDescent="0.2">
      <c r="A36" s="5" t="s">
        <v>86</v>
      </c>
      <c r="B36" s="91" t="s">
        <v>28</v>
      </c>
      <c r="C36" s="91" t="s">
        <v>28</v>
      </c>
      <c r="D36" s="91">
        <v>2</v>
      </c>
      <c r="E36" s="91">
        <v>6</v>
      </c>
      <c r="F36" s="91" t="s">
        <v>28</v>
      </c>
      <c r="G36" s="91" t="s">
        <v>28</v>
      </c>
      <c r="H36" s="91">
        <v>2361.1529999999998</v>
      </c>
      <c r="I36" s="91">
        <v>8334</v>
      </c>
      <c r="J36" s="91">
        <v>190</v>
      </c>
      <c r="K36" s="91">
        <v>93</v>
      </c>
      <c r="L36" s="91">
        <v>774</v>
      </c>
      <c r="M36" s="91">
        <v>7653</v>
      </c>
      <c r="N36" s="96">
        <v>16861</v>
      </c>
      <c r="O36" s="5"/>
    </row>
    <row r="37" spans="1:15" x14ac:dyDescent="0.2">
      <c r="A37" s="5" t="s">
        <v>95</v>
      </c>
      <c r="B37" s="91">
        <v>322</v>
      </c>
      <c r="C37" s="91">
        <v>480</v>
      </c>
      <c r="D37" s="91">
        <v>2344</v>
      </c>
      <c r="E37" s="91">
        <v>3141</v>
      </c>
      <c r="F37" s="91">
        <v>4918</v>
      </c>
      <c r="G37" s="91">
        <v>5617</v>
      </c>
      <c r="H37" s="91">
        <v>19037.259999999998</v>
      </c>
      <c r="I37" s="91">
        <v>31048</v>
      </c>
      <c r="J37" s="91">
        <v>1611</v>
      </c>
      <c r="K37" s="91">
        <v>1544</v>
      </c>
      <c r="L37" s="91">
        <v>2042</v>
      </c>
      <c r="M37" s="91">
        <v>22221</v>
      </c>
      <c r="N37" s="96">
        <v>66094</v>
      </c>
      <c r="O37" s="5"/>
    </row>
    <row r="38" spans="1:15" x14ac:dyDescent="0.2">
      <c r="A38" s="5" t="s">
        <v>46</v>
      </c>
      <c r="B38" s="91" t="s">
        <v>28</v>
      </c>
      <c r="C38" s="91" t="s">
        <v>28</v>
      </c>
      <c r="D38" s="91" t="s">
        <v>28</v>
      </c>
      <c r="E38" s="91" t="s">
        <v>28</v>
      </c>
      <c r="F38" s="91" t="s">
        <v>28</v>
      </c>
      <c r="G38" s="91" t="s">
        <v>28</v>
      </c>
      <c r="H38" s="91">
        <v>20.469000000000001</v>
      </c>
      <c r="I38" s="91">
        <v>289</v>
      </c>
      <c r="J38" s="91" t="s">
        <v>28</v>
      </c>
      <c r="K38" s="91" t="s">
        <v>28</v>
      </c>
      <c r="L38" s="91">
        <v>32906</v>
      </c>
      <c r="M38" s="91">
        <v>2666</v>
      </c>
      <c r="N38" s="96">
        <v>35861</v>
      </c>
      <c r="O38" s="5"/>
    </row>
    <row r="39" spans="1:15" x14ac:dyDescent="0.2">
      <c r="A39" s="5" t="s">
        <v>96</v>
      </c>
      <c r="B39" s="91">
        <v>1166</v>
      </c>
      <c r="C39" s="91">
        <v>739</v>
      </c>
      <c r="D39" s="91">
        <v>6766</v>
      </c>
      <c r="E39" s="91">
        <v>5292</v>
      </c>
      <c r="F39" s="91" t="s">
        <v>28</v>
      </c>
      <c r="G39" s="91" t="s">
        <v>28</v>
      </c>
      <c r="H39" s="91">
        <v>1303.4659999999999</v>
      </c>
      <c r="I39" s="91">
        <v>3356</v>
      </c>
      <c r="J39" s="91">
        <v>5114</v>
      </c>
      <c r="K39" s="91">
        <v>4027</v>
      </c>
      <c r="L39" s="91">
        <v>2939</v>
      </c>
      <c r="M39" s="91">
        <v>9591</v>
      </c>
      <c r="N39" s="96">
        <v>25943</v>
      </c>
      <c r="O39" s="5"/>
    </row>
    <row r="40" spans="1:15" x14ac:dyDescent="0.2">
      <c r="A40" s="85" t="s">
        <v>27</v>
      </c>
      <c r="B40" s="92">
        <v>6459</v>
      </c>
      <c r="C40" s="92">
        <v>5703</v>
      </c>
      <c r="D40" s="92">
        <v>54051</v>
      </c>
      <c r="E40" s="92">
        <v>57202</v>
      </c>
      <c r="F40" s="92">
        <v>6104</v>
      </c>
      <c r="G40" s="92">
        <v>6799</v>
      </c>
      <c r="H40" s="92">
        <v>486699.63</v>
      </c>
      <c r="I40" s="92">
        <v>679641</v>
      </c>
      <c r="J40" s="92">
        <v>35878</v>
      </c>
      <c r="K40" s="92">
        <v>34330</v>
      </c>
      <c r="L40" s="92">
        <v>227222</v>
      </c>
      <c r="M40" s="92">
        <v>382566</v>
      </c>
      <c r="N40" s="92">
        <v>1393463</v>
      </c>
      <c r="O40" s="5"/>
    </row>
    <row r="41" spans="1:15" x14ac:dyDescent="0.2">
      <c r="A41" s="5"/>
      <c r="B41" s="5"/>
      <c r="C41" s="5"/>
      <c r="D41" s="5"/>
      <c r="E41" s="5"/>
      <c r="F41" s="5"/>
      <c r="G41" s="5"/>
      <c r="H41" s="5"/>
      <c r="I41" s="5"/>
      <c r="J41" s="5"/>
      <c r="K41" s="5"/>
      <c r="L41" s="5"/>
      <c r="M41" s="5"/>
      <c r="N41" s="5"/>
      <c r="O41" s="5"/>
    </row>
    <row r="42" spans="1:15" x14ac:dyDescent="0.2">
      <c r="A42" s="79" t="s">
        <v>48</v>
      </c>
      <c r="B42" s="5"/>
      <c r="C42" s="5"/>
      <c r="D42" s="5"/>
      <c r="E42" s="5"/>
      <c r="F42" s="5"/>
      <c r="G42" s="5"/>
      <c r="H42" s="5"/>
      <c r="I42" s="5"/>
      <c r="J42" s="5"/>
      <c r="K42" s="5"/>
      <c r="L42" s="5"/>
      <c r="M42" s="5"/>
      <c r="N42" s="5"/>
      <c r="O42" s="5"/>
    </row>
    <row r="43" spans="1:15" x14ac:dyDescent="0.2">
      <c r="A43" s="80" t="s">
        <v>49</v>
      </c>
      <c r="B43" s="5"/>
      <c r="C43" s="5"/>
      <c r="D43" s="5"/>
      <c r="E43" s="5"/>
      <c r="F43" s="5"/>
      <c r="G43" s="5"/>
      <c r="H43" s="5"/>
      <c r="I43" s="5"/>
      <c r="J43" s="5"/>
      <c r="K43" s="5"/>
      <c r="L43" s="5"/>
      <c r="M43" s="5"/>
      <c r="N43" s="5"/>
      <c r="O43" s="5"/>
    </row>
    <row r="44" spans="1:15" x14ac:dyDescent="0.2">
      <c r="A44" s="80"/>
      <c r="B44" s="5"/>
      <c r="C44" s="5"/>
      <c r="D44" s="5"/>
      <c r="E44" s="5"/>
      <c r="F44" s="5"/>
      <c r="G44" s="5"/>
      <c r="H44" s="5"/>
      <c r="I44" s="5"/>
      <c r="J44" s="5"/>
      <c r="K44" s="5"/>
      <c r="L44" s="5"/>
      <c r="M44" s="5"/>
      <c r="N44" s="5"/>
      <c r="O44" s="5"/>
    </row>
    <row r="45" spans="1:15" x14ac:dyDescent="0.2">
      <c r="A45" s="3" t="s">
        <v>37</v>
      </c>
      <c r="B45" s="5"/>
      <c r="C45" s="5"/>
      <c r="D45" s="5"/>
      <c r="E45" s="5"/>
      <c r="F45" s="5"/>
      <c r="G45" s="5"/>
      <c r="H45" s="5"/>
      <c r="I45" s="5"/>
      <c r="J45" s="5"/>
      <c r="K45" s="5"/>
      <c r="L45" s="5"/>
      <c r="M45" s="5"/>
      <c r="N45" s="5"/>
      <c r="O45" s="5"/>
    </row>
    <row r="46" spans="1:15" x14ac:dyDescent="0.2">
      <c r="A46" s="4" t="s">
        <v>54</v>
      </c>
      <c r="B46" s="5"/>
      <c r="C46" s="5"/>
      <c r="D46" s="5"/>
      <c r="E46" s="5"/>
      <c r="F46" s="5"/>
      <c r="G46" s="5"/>
      <c r="H46" s="5"/>
      <c r="I46" s="5"/>
      <c r="J46" s="5"/>
      <c r="K46" s="5"/>
      <c r="L46" s="5"/>
      <c r="M46" s="5"/>
      <c r="N46" s="5"/>
      <c r="O46" s="5"/>
    </row>
    <row r="47" spans="1:15" x14ac:dyDescent="0.2">
      <c r="A47" s="4" t="s">
        <v>55</v>
      </c>
      <c r="B47" s="5"/>
      <c r="C47" s="5"/>
      <c r="D47" s="5"/>
      <c r="E47" s="5"/>
      <c r="F47" s="5"/>
      <c r="G47" s="5"/>
      <c r="H47" s="5"/>
      <c r="I47" s="5"/>
      <c r="J47" s="5"/>
      <c r="K47" s="5"/>
      <c r="L47" s="5"/>
      <c r="M47" s="5"/>
      <c r="N47" s="5"/>
      <c r="O47" s="5"/>
    </row>
    <row r="48" spans="1:15" x14ac:dyDescent="0.2">
      <c r="A48" s="4" t="s">
        <v>56</v>
      </c>
      <c r="B48" s="5"/>
      <c r="C48" s="5"/>
      <c r="D48" s="5"/>
      <c r="E48" s="5"/>
      <c r="F48" s="5"/>
      <c r="G48" s="5"/>
      <c r="H48" s="5"/>
      <c r="I48" s="5"/>
      <c r="J48" s="5"/>
      <c r="K48" s="5"/>
      <c r="L48" s="5"/>
      <c r="M48" s="5"/>
      <c r="N48" s="5"/>
      <c r="O48" s="5"/>
    </row>
    <row r="49" spans="1:1" x14ac:dyDescent="0.2">
      <c r="A49" s="4" t="s">
        <v>67</v>
      </c>
    </row>
    <row r="50" spans="1:1" x14ac:dyDescent="0.2">
      <c r="A50" s="4" t="s">
        <v>68</v>
      </c>
    </row>
    <row r="51" spans="1:1" x14ac:dyDescent="0.2">
      <c r="A51" s="4" t="s">
        <v>72</v>
      </c>
    </row>
    <row r="52" spans="1:1" x14ac:dyDescent="0.2">
      <c r="A52" s="4" t="s">
        <v>73</v>
      </c>
    </row>
    <row r="53" spans="1:1" x14ac:dyDescent="0.2">
      <c r="A53" s="4" t="s">
        <v>74</v>
      </c>
    </row>
    <row r="54" spans="1:1" x14ac:dyDescent="0.2">
      <c r="A54" s="82"/>
    </row>
    <row r="55" spans="1:1" x14ac:dyDescent="0.2">
      <c r="A55" s="3" t="s">
        <v>50</v>
      </c>
    </row>
    <row r="56" spans="1:1" x14ac:dyDescent="0.2">
      <c r="A56" s="81" t="s">
        <v>51</v>
      </c>
    </row>
  </sheetData>
  <mergeCells count="6">
    <mergeCell ref="J3:K3"/>
    <mergeCell ref="H3:I3"/>
    <mergeCell ref="A3:A5"/>
    <mergeCell ref="B3:C3"/>
    <mergeCell ref="D3:E3"/>
    <mergeCell ref="F3:G3"/>
  </mergeCells>
  <phoneticPr fontId="2" type="noConversion"/>
  <pageMargins left="0.39370078740157483" right="0.39370078740157483" top="0.39370078740157483" bottom="0.78740157480314965" header="0.51181102362204722" footer="0.39370078740157483"/>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64"/>
  <sheetViews>
    <sheetView workbookViewId="0"/>
  </sheetViews>
  <sheetFormatPr defaultRowHeight="12.75" x14ac:dyDescent="0.2"/>
  <cols>
    <col min="1" max="1" width="20" style="82" customWidth="1"/>
    <col min="2" max="11" width="8.7109375" style="1" customWidth="1"/>
    <col min="12" max="12" width="12.28515625" style="1" customWidth="1"/>
    <col min="13" max="14" width="11.7109375" style="1" customWidth="1"/>
    <col min="15" max="16384" width="9.140625" style="1"/>
  </cols>
  <sheetData>
    <row r="1" spans="1:14" s="2" customFormat="1" ht="17.25" customHeight="1" x14ac:dyDescent="0.25">
      <c r="A1" s="76" t="s">
        <v>76</v>
      </c>
    </row>
    <row r="2" spans="1:14" s="2" customFormat="1" ht="11.25" customHeight="1" x14ac:dyDescent="0.25">
      <c r="A2" s="76"/>
    </row>
    <row r="3" spans="1:14" s="77" customFormat="1" ht="25.5" customHeight="1" x14ac:dyDescent="0.2">
      <c r="A3" s="175" t="s">
        <v>38</v>
      </c>
      <c r="B3" s="170" t="s">
        <v>36</v>
      </c>
      <c r="C3" s="170"/>
      <c r="D3" s="173" t="s">
        <v>65</v>
      </c>
      <c r="E3" s="173"/>
      <c r="F3" s="170" t="s">
        <v>35</v>
      </c>
      <c r="G3" s="170"/>
      <c r="H3" s="173" t="s">
        <v>66</v>
      </c>
      <c r="I3" s="173"/>
      <c r="J3" s="170" t="s">
        <v>70</v>
      </c>
      <c r="K3" s="170"/>
      <c r="L3" s="90" t="s">
        <v>53</v>
      </c>
      <c r="M3" s="90" t="s">
        <v>71</v>
      </c>
      <c r="N3" s="90" t="s">
        <v>34</v>
      </c>
    </row>
    <row r="4" spans="1:14" s="77" customFormat="1" ht="10.5" x14ac:dyDescent="0.2">
      <c r="A4" s="175"/>
      <c r="B4" s="89" t="s">
        <v>59</v>
      </c>
      <c r="C4" s="89" t="s">
        <v>57</v>
      </c>
      <c r="D4" s="90" t="s">
        <v>69</v>
      </c>
      <c r="E4" s="90" t="s">
        <v>57</v>
      </c>
      <c r="F4" s="89" t="s">
        <v>58</v>
      </c>
      <c r="G4" s="89" t="s">
        <v>57</v>
      </c>
      <c r="H4" s="90" t="s">
        <v>58</v>
      </c>
      <c r="I4" s="90" t="s">
        <v>57</v>
      </c>
      <c r="J4" s="89" t="s">
        <v>58</v>
      </c>
      <c r="K4" s="89" t="s">
        <v>57</v>
      </c>
      <c r="L4" s="90" t="s">
        <v>57</v>
      </c>
      <c r="M4" s="90" t="s">
        <v>57</v>
      </c>
      <c r="N4" s="90" t="s">
        <v>57</v>
      </c>
    </row>
    <row r="5" spans="1:14" s="31" customFormat="1" ht="12.75" customHeight="1" x14ac:dyDescent="0.2">
      <c r="A5" s="176"/>
      <c r="B5" s="88" t="s">
        <v>60</v>
      </c>
      <c r="C5" s="88" t="s">
        <v>61</v>
      </c>
      <c r="D5" s="88" t="s">
        <v>62</v>
      </c>
      <c r="E5" s="88" t="s">
        <v>61</v>
      </c>
      <c r="F5" s="88" t="s">
        <v>63</v>
      </c>
      <c r="G5" s="88" t="s">
        <v>61</v>
      </c>
      <c r="H5" s="88" t="s">
        <v>63</v>
      </c>
      <c r="I5" s="88" t="s">
        <v>61</v>
      </c>
      <c r="J5" s="88" t="s">
        <v>64</v>
      </c>
      <c r="K5" s="88" t="s">
        <v>61</v>
      </c>
      <c r="L5" s="88" t="s">
        <v>61</v>
      </c>
      <c r="M5" s="88" t="s">
        <v>61</v>
      </c>
      <c r="N5" s="88" t="s">
        <v>61</v>
      </c>
    </row>
    <row r="6" spans="1:14" s="5" customFormat="1" ht="11.25" customHeight="1" x14ac:dyDescent="0.2">
      <c r="A6" s="4" t="s">
        <v>0</v>
      </c>
      <c r="B6" s="6">
        <v>1833</v>
      </c>
      <c r="C6" s="6">
        <v>1552</v>
      </c>
      <c r="D6" s="6">
        <v>7200</v>
      </c>
      <c r="E6" s="6">
        <v>7028</v>
      </c>
      <c r="F6" s="6" t="s">
        <v>28</v>
      </c>
      <c r="G6" s="6" t="s">
        <v>28</v>
      </c>
      <c r="H6" s="6">
        <v>198881.492</v>
      </c>
      <c r="I6" s="6">
        <v>233688</v>
      </c>
      <c r="J6" s="6">
        <v>6917</v>
      </c>
      <c r="K6" s="6">
        <v>9264</v>
      </c>
      <c r="L6" s="6">
        <v>11376</v>
      </c>
      <c r="M6" s="6">
        <v>176857</v>
      </c>
      <c r="N6" s="7">
        <v>439765</v>
      </c>
    </row>
    <row r="7" spans="1:14" s="5" customFormat="1" ht="11.25" customHeight="1" x14ac:dyDescent="0.2">
      <c r="A7" s="4" t="s">
        <v>1</v>
      </c>
      <c r="B7" s="6" t="s">
        <v>28</v>
      </c>
      <c r="C7" s="6" t="s">
        <v>28</v>
      </c>
      <c r="D7" s="6">
        <v>1083</v>
      </c>
      <c r="E7" s="6">
        <v>453</v>
      </c>
      <c r="F7" s="6" t="s">
        <v>28</v>
      </c>
      <c r="G7" s="6" t="s">
        <v>28</v>
      </c>
      <c r="H7" s="6">
        <v>5226.7060000000001</v>
      </c>
      <c r="I7" s="6">
        <v>9977</v>
      </c>
      <c r="J7" s="6">
        <v>9</v>
      </c>
      <c r="K7" s="6">
        <v>514</v>
      </c>
      <c r="L7" s="6">
        <v>161</v>
      </c>
      <c r="M7" s="6">
        <v>84</v>
      </c>
      <c r="N7" s="7">
        <v>11190</v>
      </c>
    </row>
    <row r="8" spans="1:14" s="5" customFormat="1" ht="11.25" customHeight="1" x14ac:dyDescent="0.2">
      <c r="A8" s="4" t="s">
        <v>2</v>
      </c>
      <c r="B8" s="6" t="s">
        <v>28</v>
      </c>
      <c r="C8" s="6"/>
      <c r="D8" s="6" t="s">
        <v>28</v>
      </c>
      <c r="E8" s="6" t="s">
        <v>28</v>
      </c>
      <c r="F8" s="6" t="s">
        <v>28</v>
      </c>
      <c r="G8" s="6" t="s">
        <v>28</v>
      </c>
      <c r="H8" s="6">
        <v>15363</v>
      </c>
      <c r="I8" s="6">
        <v>21146</v>
      </c>
      <c r="J8" s="6">
        <v>254</v>
      </c>
      <c r="K8" s="6">
        <v>484</v>
      </c>
      <c r="L8" s="6">
        <v>79</v>
      </c>
      <c r="M8" s="6">
        <v>2759</v>
      </c>
      <c r="N8" s="7">
        <v>24467</v>
      </c>
    </row>
    <row r="9" spans="1:14" s="5" customFormat="1" ht="11.25" customHeight="1" x14ac:dyDescent="0.2">
      <c r="A9" s="4" t="s">
        <v>3</v>
      </c>
      <c r="B9" s="6">
        <v>111</v>
      </c>
      <c r="C9" s="6">
        <v>114</v>
      </c>
      <c r="D9" s="6">
        <v>714</v>
      </c>
      <c r="E9" s="6">
        <v>418</v>
      </c>
      <c r="F9" s="6" t="s">
        <v>28</v>
      </c>
      <c r="G9" s="6" t="s">
        <v>28</v>
      </c>
      <c r="H9" s="6">
        <v>290.32299999999998</v>
      </c>
      <c r="I9" s="6">
        <v>566</v>
      </c>
      <c r="J9" s="6">
        <v>95</v>
      </c>
      <c r="K9" s="6">
        <v>91</v>
      </c>
      <c r="L9" s="6">
        <v>233</v>
      </c>
      <c r="M9" s="6">
        <v>764</v>
      </c>
      <c r="N9" s="7">
        <v>2187</v>
      </c>
    </row>
    <row r="10" spans="1:14" s="5" customFormat="1" ht="11.25" customHeight="1" x14ac:dyDescent="0.2">
      <c r="A10" s="4" t="s">
        <v>29</v>
      </c>
      <c r="B10" s="6">
        <v>9</v>
      </c>
      <c r="C10" s="6">
        <v>1</v>
      </c>
      <c r="D10" s="6">
        <v>4</v>
      </c>
      <c r="E10" s="6">
        <v>8</v>
      </c>
      <c r="F10" s="6" t="s">
        <v>28</v>
      </c>
      <c r="G10" s="6" t="s">
        <v>28</v>
      </c>
      <c r="H10" s="6">
        <v>2552.252</v>
      </c>
      <c r="I10" s="6">
        <v>8644</v>
      </c>
      <c r="J10" s="6">
        <v>85</v>
      </c>
      <c r="K10" s="6">
        <v>34</v>
      </c>
      <c r="L10" s="6">
        <v>809</v>
      </c>
      <c r="M10" s="6">
        <v>6468</v>
      </c>
      <c r="N10" s="7">
        <v>15964</v>
      </c>
    </row>
    <row r="11" spans="1:14" s="5" customFormat="1" ht="11.25" customHeight="1" x14ac:dyDescent="0.2">
      <c r="A11" s="4" t="s">
        <v>4</v>
      </c>
      <c r="B11" s="6">
        <v>50</v>
      </c>
      <c r="C11" s="6">
        <v>33</v>
      </c>
      <c r="D11" s="6">
        <v>22115</v>
      </c>
      <c r="E11" s="6">
        <v>26157</v>
      </c>
      <c r="F11" s="6">
        <v>1371</v>
      </c>
      <c r="G11" s="6">
        <v>1227</v>
      </c>
      <c r="H11" s="6">
        <v>1771.25</v>
      </c>
      <c r="I11" s="6">
        <v>2807</v>
      </c>
      <c r="J11" s="6">
        <v>179</v>
      </c>
      <c r="K11" s="6">
        <v>405</v>
      </c>
      <c r="L11" s="6">
        <v>218</v>
      </c>
      <c r="M11" s="6">
        <v>2832</v>
      </c>
      <c r="N11" s="7">
        <v>33679</v>
      </c>
    </row>
    <row r="12" spans="1:14" s="5" customFormat="1" ht="11.25" customHeight="1" x14ac:dyDescent="0.2">
      <c r="A12" s="4" t="s">
        <v>40</v>
      </c>
      <c r="B12" s="6" t="s">
        <v>28</v>
      </c>
      <c r="C12" s="6" t="s">
        <v>28</v>
      </c>
      <c r="D12" s="6">
        <v>186</v>
      </c>
      <c r="E12" s="6">
        <v>217</v>
      </c>
      <c r="F12" s="6" t="s">
        <v>28</v>
      </c>
      <c r="G12" s="6" t="s">
        <v>28</v>
      </c>
      <c r="H12" s="6">
        <v>14881.355</v>
      </c>
      <c r="I12" s="6">
        <v>20297</v>
      </c>
      <c r="J12" s="6">
        <v>6469</v>
      </c>
      <c r="K12" s="6">
        <v>4951</v>
      </c>
      <c r="L12" s="6">
        <v>75020</v>
      </c>
      <c r="M12" s="6">
        <v>29787</v>
      </c>
      <c r="N12" s="7">
        <v>130273</v>
      </c>
    </row>
    <row r="13" spans="1:14" s="5" customFormat="1" ht="11.25" customHeight="1" x14ac:dyDescent="0.2">
      <c r="A13" s="4" t="s">
        <v>5</v>
      </c>
      <c r="B13" s="6" t="s">
        <v>28</v>
      </c>
      <c r="C13" s="6" t="s">
        <v>28</v>
      </c>
      <c r="D13" s="6">
        <v>43</v>
      </c>
      <c r="E13" s="6">
        <v>83</v>
      </c>
      <c r="F13" s="6" t="s">
        <v>28</v>
      </c>
      <c r="G13" s="6" t="s">
        <v>28</v>
      </c>
      <c r="H13" s="6">
        <v>137.28200000000001</v>
      </c>
      <c r="I13" s="6">
        <v>404</v>
      </c>
      <c r="J13" s="6" t="s">
        <v>28</v>
      </c>
      <c r="K13" s="6" t="s">
        <v>28</v>
      </c>
      <c r="L13" s="6">
        <v>2485</v>
      </c>
      <c r="M13" s="6">
        <v>4408</v>
      </c>
      <c r="N13" s="7">
        <v>7381</v>
      </c>
    </row>
    <row r="14" spans="1:14" s="5" customFormat="1" ht="11.25" customHeight="1" x14ac:dyDescent="0.2">
      <c r="A14" s="4" t="s">
        <v>6</v>
      </c>
      <c r="B14" s="6">
        <v>84</v>
      </c>
      <c r="C14" s="6">
        <v>78</v>
      </c>
      <c r="D14" s="6">
        <v>2252</v>
      </c>
      <c r="E14" s="6">
        <v>2240</v>
      </c>
      <c r="F14" s="6" t="s">
        <v>28</v>
      </c>
      <c r="G14" s="6" t="s">
        <v>28</v>
      </c>
      <c r="H14" s="6" t="s">
        <v>28</v>
      </c>
      <c r="I14" s="6" t="s">
        <v>28</v>
      </c>
      <c r="J14" s="6">
        <v>600</v>
      </c>
      <c r="K14" s="6">
        <v>805</v>
      </c>
      <c r="L14" s="6">
        <v>140</v>
      </c>
      <c r="M14" s="6">
        <v>201</v>
      </c>
      <c r="N14" s="7">
        <v>3463</v>
      </c>
    </row>
    <row r="15" spans="1:14" s="5" customFormat="1" ht="11.25" customHeight="1" x14ac:dyDescent="0.2">
      <c r="A15" s="4" t="s">
        <v>7</v>
      </c>
      <c r="B15" s="6" t="s">
        <v>28</v>
      </c>
      <c r="C15" s="6" t="s">
        <v>28</v>
      </c>
      <c r="D15" s="6" t="s">
        <v>28</v>
      </c>
      <c r="E15" s="6" t="s">
        <v>28</v>
      </c>
      <c r="F15" s="6" t="s">
        <v>28</v>
      </c>
      <c r="G15" s="6" t="s">
        <v>28</v>
      </c>
      <c r="H15" s="6">
        <v>50812.817999999999</v>
      </c>
      <c r="I15" s="6">
        <v>61125</v>
      </c>
      <c r="J15" s="6">
        <v>93</v>
      </c>
      <c r="K15" s="6">
        <v>325</v>
      </c>
      <c r="L15" s="6">
        <v>15</v>
      </c>
      <c r="M15" s="6">
        <v>977</v>
      </c>
      <c r="N15" s="7">
        <v>62443</v>
      </c>
    </row>
    <row r="16" spans="1:14" s="5" customFormat="1" ht="11.25" customHeight="1" x14ac:dyDescent="0.2">
      <c r="A16" s="4" t="s">
        <v>8</v>
      </c>
      <c r="B16" s="6" t="s">
        <v>28</v>
      </c>
      <c r="C16" s="6" t="s">
        <v>28</v>
      </c>
      <c r="D16" s="6">
        <v>213</v>
      </c>
      <c r="E16" s="6">
        <v>276</v>
      </c>
      <c r="F16" s="6" t="s">
        <v>28</v>
      </c>
      <c r="G16" s="6" t="s">
        <v>28</v>
      </c>
      <c r="H16" s="6">
        <v>7674.2460000000001</v>
      </c>
      <c r="I16" s="6">
        <v>10868</v>
      </c>
      <c r="J16" s="6">
        <v>272</v>
      </c>
      <c r="K16" s="6">
        <v>322</v>
      </c>
      <c r="L16" s="6">
        <v>1065</v>
      </c>
      <c r="M16" s="6">
        <v>31450</v>
      </c>
      <c r="N16" s="7">
        <v>43981</v>
      </c>
    </row>
    <row r="17" spans="1:14" s="5" customFormat="1" ht="11.25" customHeight="1" x14ac:dyDescent="0.2">
      <c r="A17" s="4" t="s">
        <v>9</v>
      </c>
      <c r="B17" s="6" t="s">
        <v>28</v>
      </c>
      <c r="C17" s="6" t="s">
        <v>28</v>
      </c>
      <c r="D17" s="6">
        <v>44</v>
      </c>
      <c r="E17" s="6">
        <v>141</v>
      </c>
      <c r="F17" s="6">
        <v>51</v>
      </c>
      <c r="G17" s="6">
        <v>118</v>
      </c>
      <c r="H17" s="6">
        <v>26497.234</v>
      </c>
      <c r="I17" s="6">
        <v>43480</v>
      </c>
      <c r="J17" s="6">
        <v>448</v>
      </c>
      <c r="K17" s="6">
        <v>1431</v>
      </c>
      <c r="L17" s="6">
        <v>1509</v>
      </c>
      <c r="M17" s="6">
        <v>19955</v>
      </c>
      <c r="N17" s="7">
        <v>66635</v>
      </c>
    </row>
    <row r="18" spans="1:14" s="5" customFormat="1" ht="11.25" customHeight="1" x14ac:dyDescent="0.2">
      <c r="A18" s="78" t="s">
        <v>52</v>
      </c>
      <c r="B18" s="6" t="s">
        <v>28</v>
      </c>
      <c r="C18" s="6" t="s">
        <v>28</v>
      </c>
      <c r="D18" s="6">
        <v>32</v>
      </c>
      <c r="E18" s="6">
        <v>16</v>
      </c>
      <c r="F18" s="6" t="s">
        <v>28</v>
      </c>
      <c r="G18" s="6" t="s">
        <v>28</v>
      </c>
      <c r="H18" s="6">
        <v>19.247</v>
      </c>
      <c r="I18" s="6">
        <v>109</v>
      </c>
      <c r="J18" s="6" t="s">
        <v>28</v>
      </c>
      <c r="K18" s="6" t="s">
        <v>28</v>
      </c>
      <c r="L18" s="6">
        <v>564</v>
      </c>
      <c r="M18" s="6">
        <v>1759</v>
      </c>
      <c r="N18" s="7">
        <v>2447</v>
      </c>
    </row>
    <row r="19" spans="1:14" s="5" customFormat="1" ht="11.25" customHeight="1" x14ac:dyDescent="0.2">
      <c r="A19" s="4" t="s">
        <v>10</v>
      </c>
      <c r="B19" s="6" t="s">
        <v>28</v>
      </c>
      <c r="C19" s="6" t="s">
        <v>28</v>
      </c>
      <c r="D19" s="6" t="s">
        <v>28</v>
      </c>
      <c r="E19" s="6" t="s">
        <v>28</v>
      </c>
      <c r="F19" s="6" t="s">
        <v>28</v>
      </c>
      <c r="G19" s="6" t="s">
        <v>28</v>
      </c>
      <c r="H19" s="6">
        <v>125.878</v>
      </c>
      <c r="I19" s="6">
        <v>175</v>
      </c>
      <c r="J19" s="6" t="s">
        <v>28</v>
      </c>
      <c r="K19" s="6" t="s">
        <v>28</v>
      </c>
      <c r="L19" s="6">
        <v>1322</v>
      </c>
      <c r="M19" s="6">
        <v>1538</v>
      </c>
      <c r="N19" s="7">
        <v>3035</v>
      </c>
    </row>
    <row r="20" spans="1:14" s="5" customFormat="1" ht="11.25" customHeight="1" x14ac:dyDescent="0.2">
      <c r="A20" s="4" t="s">
        <v>11</v>
      </c>
      <c r="B20" s="6" t="s">
        <v>28</v>
      </c>
      <c r="C20" s="6" t="s">
        <v>28</v>
      </c>
      <c r="D20" s="6">
        <v>5166</v>
      </c>
      <c r="E20" s="6">
        <v>6295</v>
      </c>
      <c r="F20" s="6" t="s">
        <v>28</v>
      </c>
      <c r="G20" s="6" t="s">
        <v>28</v>
      </c>
      <c r="H20" s="6">
        <v>42704.56</v>
      </c>
      <c r="I20" s="6">
        <v>54800</v>
      </c>
      <c r="J20" s="6">
        <v>1554</v>
      </c>
      <c r="K20" s="6">
        <v>1832</v>
      </c>
      <c r="L20" s="6">
        <v>12584</v>
      </c>
      <c r="M20" s="6">
        <v>26149</v>
      </c>
      <c r="N20" s="7">
        <v>101660</v>
      </c>
    </row>
    <row r="21" spans="1:14" s="5" customFormat="1" ht="11.25" customHeight="1" x14ac:dyDescent="0.2">
      <c r="A21" s="4" t="s">
        <v>12</v>
      </c>
      <c r="B21" s="6">
        <v>49</v>
      </c>
      <c r="C21" s="6">
        <v>55</v>
      </c>
      <c r="D21" s="6">
        <v>381</v>
      </c>
      <c r="E21" s="6">
        <v>392</v>
      </c>
      <c r="F21" s="6" t="s">
        <v>28</v>
      </c>
      <c r="G21" s="6" t="s">
        <v>28</v>
      </c>
      <c r="H21" s="6">
        <v>8142.3890000000001</v>
      </c>
      <c r="I21" s="6">
        <v>11646</v>
      </c>
      <c r="J21" s="6">
        <v>769</v>
      </c>
      <c r="K21" s="6">
        <v>376</v>
      </c>
      <c r="L21" s="6">
        <v>8954</v>
      </c>
      <c r="M21" s="6">
        <v>5775</v>
      </c>
      <c r="N21" s="7">
        <v>27197</v>
      </c>
    </row>
    <row r="22" spans="1:14" s="5" customFormat="1" ht="11.25" customHeight="1" x14ac:dyDescent="0.2">
      <c r="A22" s="4" t="s">
        <v>13</v>
      </c>
      <c r="B22" s="6" t="s">
        <v>28</v>
      </c>
      <c r="C22" s="6" t="s">
        <v>28</v>
      </c>
      <c r="D22" s="6" t="s">
        <v>28</v>
      </c>
      <c r="E22" s="6" t="s">
        <v>28</v>
      </c>
      <c r="F22" s="6" t="s">
        <v>28</v>
      </c>
      <c r="G22" s="6" t="s">
        <v>28</v>
      </c>
      <c r="H22" s="6">
        <v>18288.584999999999</v>
      </c>
      <c r="I22" s="6">
        <v>31785</v>
      </c>
      <c r="J22" s="6" t="s">
        <v>28</v>
      </c>
      <c r="K22" s="6" t="s">
        <v>28</v>
      </c>
      <c r="L22" s="6">
        <v>50</v>
      </c>
      <c r="M22" s="6">
        <v>1762</v>
      </c>
      <c r="N22" s="7">
        <v>33597</v>
      </c>
    </row>
    <row r="23" spans="1:14" s="5" customFormat="1" ht="11.25" customHeight="1" x14ac:dyDescent="0.2">
      <c r="A23" s="4" t="s">
        <v>42</v>
      </c>
      <c r="B23" s="6" t="s">
        <v>28</v>
      </c>
      <c r="C23" s="6" t="s">
        <v>28</v>
      </c>
      <c r="D23" s="6" t="s">
        <v>28</v>
      </c>
      <c r="E23" s="6" t="s">
        <v>28</v>
      </c>
      <c r="F23" s="6" t="s">
        <v>28</v>
      </c>
      <c r="G23" s="6" t="s">
        <v>28</v>
      </c>
      <c r="H23" s="6">
        <v>18989.295999999998</v>
      </c>
      <c r="I23" s="6">
        <v>24977</v>
      </c>
      <c r="J23" s="6">
        <v>65</v>
      </c>
      <c r="K23" s="6">
        <v>51</v>
      </c>
      <c r="L23" s="6">
        <v>389</v>
      </c>
      <c r="M23" s="6">
        <v>1103</v>
      </c>
      <c r="N23" s="7">
        <v>26519</v>
      </c>
    </row>
    <row r="24" spans="1:14" s="5" customFormat="1" ht="11.25" customHeight="1" x14ac:dyDescent="0.2">
      <c r="A24" s="4" t="s">
        <v>14</v>
      </c>
      <c r="B24" s="6" t="s">
        <v>28</v>
      </c>
      <c r="C24" s="6" t="s">
        <v>28</v>
      </c>
      <c r="D24" s="6">
        <v>607</v>
      </c>
      <c r="E24" s="6">
        <v>1131</v>
      </c>
      <c r="F24" s="6" t="s">
        <v>28</v>
      </c>
      <c r="G24" s="6" t="s">
        <v>28</v>
      </c>
      <c r="H24" s="6">
        <v>3984.9229999999998</v>
      </c>
      <c r="I24" s="6">
        <v>5655</v>
      </c>
      <c r="J24" s="6">
        <v>2576</v>
      </c>
      <c r="K24" s="6">
        <v>3379</v>
      </c>
      <c r="L24" s="6">
        <v>33051</v>
      </c>
      <c r="M24" s="6">
        <v>11604</v>
      </c>
      <c r="N24" s="7">
        <v>54820</v>
      </c>
    </row>
    <row r="25" spans="1:14" s="5" customFormat="1" ht="11.25" customHeight="1" x14ac:dyDescent="0.2">
      <c r="A25" s="4" t="s">
        <v>15</v>
      </c>
      <c r="B25" s="6" t="s">
        <v>28</v>
      </c>
      <c r="C25" s="6" t="s">
        <v>28</v>
      </c>
      <c r="D25" s="6" t="s">
        <v>28</v>
      </c>
      <c r="E25" s="6" t="s">
        <v>28</v>
      </c>
      <c r="F25" s="6" t="s">
        <v>28</v>
      </c>
      <c r="G25" s="6" t="s">
        <v>28</v>
      </c>
      <c r="H25" s="6">
        <v>3.5369999999999999</v>
      </c>
      <c r="I25" s="6">
        <v>74</v>
      </c>
      <c r="J25" s="6" t="s">
        <v>28</v>
      </c>
      <c r="K25" s="6" t="s">
        <v>28</v>
      </c>
      <c r="L25" s="6">
        <v>65</v>
      </c>
      <c r="M25" s="6">
        <v>2718</v>
      </c>
      <c r="N25" s="7">
        <v>2857</v>
      </c>
    </row>
    <row r="26" spans="1:14" s="5" customFormat="1" ht="11.25" customHeight="1" x14ac:dyDescent="0.2">
      <c r="A26" s="4" t="s">
        <v>16</v>
      </c>
      <c r="B26" s="6" t="s">
        <v>28</v>
      </c>
      <c r="C26" s="6" t="s">
        <v>28</v>
      </c>
      <c r="D26" s="6" t="s">
        <v>28</v>
      </c>
      <c r="E26" s="6" t="s">
        <v>28</v>
      </c>
      <c r="F26" s="6" t="s">
        <v>28</v>
      </c>
      <c r="G26" s="6" t="s">
        <v>28</v>
      </c>
      <c r="H26" s="6">
        <v>2637.0340000000001</v>
      </c>
      <c r="I26" s="6">
        <v>4539</v>
      </c>
      <c r="J26" s="6" t="s">
        <v>28</v>
      </c>
      <c r="K26" s="6" t="s">
        <v>28</v>
      </c>
      <c r="L26" s="6">
        <v>576</v>
      </c>
      <c r="M26" s="6">
        <v>4116</v>
      </c>
      <c r="N26" s="7">
        <v>9231</v>
      </c>
    </row>
    <row r="27" spans="1:14" s="5" customFormat="1" ht="11.25" customHeight="1" x14ac:dyDescent="0.2">
      <c r="A27" s="4" t="s">
        <v>17</v>
      </c>
      <c r="B27" s="6" t="s">
        <v>28</v>
      </c>
      <c r="C27" s="6" t="s">
        <v>28</v>
      </c>
      <c r="D27" s="6" t="s">
        <v>28</v>
      </c>
      <c r="E27" s="6" t="s">
        <v>28</v>
      </c>
      <c r="F27" s="6" t="s">
        <v>28</v>
      </c>
      <c r="G27" s="6" t="s">
        <v>28</v>
      </c>
      <c r="H27" s="6">
        <v>281.36700000000002</v>
      </c>
      <c r="I27" s="6">
        <v>572</v>
      </c>
      <c r="J27" s="6" t="s">
        <v>28</v>
      </c>
      <c r="K27" s="6" t="s">
        <v>28</v>
      </c>
      <c r="L27" s="6">
        <v>270</v>
      </c>
      <c r="M27" s="6">
        <v>38</v>
      </c>
      <c r="N27" s="7">
        <v>880</v>
      </c>
    </row>
    <row r="28" spans="1:14" s="5" customFormat="1" ht="11.25" customHeight="1" x14ac:dyDescent="0.2">
      <c r="A28" s="4" t="s">
        <v>18</v>
      </c>
      <c r="B28" s="6">
        <v>161</v>
      </c>
      <c r="C28" s="6">
        <v>114</v>
      </c>
      <c r="D28" s="6">
        <v>3590</v>
      </c>
      <c r="E28" s="6">
        <v>2433</v>
      </c>
      <c r="F28" s="6" t="s">
        <v>28</v>
      </c>
      <c r="G28" s="6" t="s">
        <v>28</v>
      </c>
      <c r="H28" s="6" t="s">
        <v>28</v>
      </c>
      <c r="I28" s="6" t="s">
        <v>28</v>
      </c>
      <c r="J28" s="6">
        <v>104</v>
      </c>
      <c r="K28" s="6">
        <v>99</v>
      </c>
      <c r="L28" s="6" t="s">
        <v>28</v>
      </c>
      <c r="M28" s="6">
        <v>551</v>
      </c>
      <c r="N28" s="7">
        <v>3197</v>
      </c>
    </row>
    <row r="29" spans="1:14" s="5" customFormat="1" ht="11.25" customHeight="1" x14ac:dyDescent="0.2">
      <c r="A29" s="4" t="s">
        <v>19</v>
      </c>
      <c r="B29" s="6" t="s">
        <v>28</v>
      </c>
      <c r="C29" s="6" t="s">
        <v>28</v>
      </c>
      <c r="D29" s="6">
        <v>15</v>
      </c>
      <c r="E29" s="6">
        <v>18</v>
      </c>
      <c r="F29" s="6" t="s">
        <v>28</v>
      </c>
      <c r="G29" s="6" t="s">
        <v>28</v>
      </c>
      <c r="H29" s="6">
        <v>10.276</v>
      </c>
      <c r="I29" s="6">
        <v>45</v>
      </c>
      <c r="J29" s="6" t="s">
        <v>28</v>
      </c>
      <c r="K29" s="6" t="s">
        <v>28</v>
      </c>
      <c r="L29" s="6">
        <v>863</v>
      </c>
      <c r="M29" s="6">
        <v>1149</v>
      </c>
      <c r="N29" s="7">
        <v>2076</v>
      </c>
    </row>
    <row r="30" spans="1:14" s="5" customFormat="1" ht="11.25" customHeight="1" x14ac:dyDescent="0.2">
      <c r="A30" s="4" t="s">
        <v>20</v>
      </c>
      <c r="B30" s="6" t="s">
        <v>28</v>
      </c>
      <c r="C30" s="6" t="s">
        <v>28</v>
      </c>
      <c r="D30" s="6" t="s">
        <v>28</v>
      </c>
      <c r="E30" s="6" t="s">
        <v>28</v>
      </c>
      <c r="F30" s="6" t="s">
        <v>28</v>
      </c>
      <c r="G30" s="6" t="s">
        <v>28</v>
      </c>
      <c r="H30" s="6">
        <v>66.367999999999995</v>
      </c>
      <c r="I30" s="6">
        <v>89</v>
      </c>
      <c r="J30" s="6">
        <v>3</v>
      </c>
      <c r="K30" s="6">
        <v>17</v>
      </c>
      <c r="L30" s="6">
        <v>3</v>
      </c>
      <c r="M30" s="6">
        <v>6006</v>
      </c>
      <c r="N30" s="7">
        <v>6115</v>
      </c>
    </row>
    <row r="31" spans="1:14" s="5" customFormat="1" ht="11.25" customHeight="1" x14ac:dyDescent="0.2">
      <c r="A31" s="4" t="s">
        <v>21</v>
      </c>
      <c r="B31" s="6" t="s">
        <v>28</v>
      </c>
      <c r="C31" s="6" t="s">
        <v>28</v>
      </c>
      <c r="D31" s="6">
        <v>131</v>
      </c>
      <c r="E31" s="6">
        <v>208</v>
      </c>
      <c r="F31" s="6" t="s">
        <v>28</v>
      </c>
      <c r="G31" s="6" t="s">
        <v>28</v>
      </c>
      <c r="H31" s="6">
        <v>3629.0390000000002</v>
      </c>
      <c r="I31" s="6">
        <v>17110</v>
      </c>
      <c r="J31" s="6">
        <v>298</v>
      </c>
      <c r="K31" s="6">
        <v>232</v>
      </c>
      <c r="L31" s="6">
        <v>305</v>
      </c>
      <c r="M31" s="6">
        <v>2350</v>
      </c>
      <c r="N31" s="7">
        <v>20205</v>
      </c>
    </row>
    <row r="32" spans="1:14" s="5" customFormat="1" ht="11.25" customHeight="1" x14ac:dyDescent="0.2">
      <c r="A32" s="4" t="s">
        <v>22</v>
      </c>
      <c r="B32" s="6">
        <v>4</v>
      </c>
      <c r="C32" s="6">
        <v>19</v>
      </c>
      <c r="D32" s="6" t="s">
        <v>28</v>
      </c>
      <c r="E32" s="6" t="s">
        <v>28</v>
      </c>
      <c r="F32" s="6" t="s">
        <v>28</v>
      </c>
      <c r="G32" s="6" t="s">
        <v>28</v>
      </c>
      <c r="H32" s="6">
        <v>25028.025000000001</v>
      </c>
      <c r="I32" s="6">
        <v>27645</v>
      </c>
      <c r="J32" s="6">
        <v>156</v>
      </c>
      <c r="K32" s="6">
        <v>250</v>
      </c>
      <c r="L32" s="6">
        <v>345</v>
      </c>
      <c r="M32" s="6">
        <v>451</v>
      </c>
      <c r="N32" s="7">
        <v>28710</v>
      </c>
    </row>
    <row r="33" spans="1:14" s="5" customFormat="1" ht="11.25" customHeight="1" x14ac:dyDescent="0.2">
      <c r="A33" s="4" t="s">
        <v>23</v>
      </c>
      <c r="B33" s="6" t="s">
        <v>28</v>
      </c>
      <c r="C33" s="6" t="s">
        <v>28</v>
      </c>
      <c r="D33" s="6" t="s">
        <v>28</v>
      </c>
      <c r="E33" s="6" t="s">
        <v>28</v>
      </c>
      <c r="F33" s="6" t="s">
        <v>28</v>
      </c>
      <c r="G33" s="6" t="s">
        <v>28</v>
      </c>
      <c r="H33" s="6">
        <v>836.42</v>
      </c>
      <c r="I33" s="6">
        <v>2938</v>
      </c>
      <c r="J33" s="6" t="s">
        <v>28</v>
      </c>
      <c r="K33" s="6" t="s">
        <v>28</v>
      </c>
      <c r="L33" s="6">
        <v>233</v>
      </c>
      <c r="M33" s="6">
        <v>1150</v>
      </c>
      <c r="N33" s="7">
        <v>4321</v>
      </c>
    </row>
    <row r="34" spans="1:14" s="5" customFormat="1" ht="11.25" customHeight="1" x14ac:dyDescent="0.2">
      <c r="A34" s="4" t="s">
        <v>24</v>
      </c>
      <c r="B34" s="6" t="s">
        <v>28</v>
      </c>
      <c r="C34" s="6" t="s">
        <v>28</v>
      </c>
      <c r="D34" s="6" t="s">
        <v>28</v>
      </c>
      <c r="E34" s="6" t="s">
        <v>28</v>
      </c>
      <c r="F34" s="6" t="s">
        <v>28</v>
      </c>
      <c r="G34" s="6" t="s">
        <v>28</v>
      </c>
      <c r="H34" s="6">
        <v>19696.192999999999</v>
      </c>
      <c r="I34" s="6">
        <v>23767</v>
      </c>
      <c r="J34" s="6">
        <v>48</v>
      </c>
      <c r="K34" s="6">
        <v>1851</v>
      </c>
      <c r="L34" s="6">
        <v>110</v>
      </c>
      <c r="M34" s="6">
        <v>1633</v>
      </c>
      <c r="N34" s="7">
        <v>27361</v>
      </c>
    </row>
    <row r="35" spans="1:14" s="5" customFormat="1" ht="11.25" customHeight="1" x14ac:dyDescent="0.2">
      <c r="A35" s="4" t="s">
        <v>25</v>
      </c>
      <c r="B35" s="6" t="s">
        <v>28</v>
      </c>
      <c r="C35" s="6" t="s">
        <v>28</v>
      </c>
      <c r="D35" s="6" t="s">
        <v>28</v>
      </c>
      <c r="E35" s="6" t="s">
        <v>28</v>
      </c>
      <c r="F35" s="6" t="s">
        <v>28</v>
      </c>
      <c r="G35" s="6" t="s">
        <v>28</v>
      </c>
      <c r="H35" s="6">
        <v>120.489</v>
      </c>
      <c r="I35" s="6">
        <v>890</v>
      </c>
      <c r="J35" s="6">
        <v>5</v>
      </c>
      <c r="K35" s="6">
        <v>27</v>
      </c>
      <c r="L35" s="6">
        <v>53</v>
      </c>
      <c r="M35" s="6">
        <v>444</v>
      </c>
      <c r="N35" s="7">
        <v>1414</v>
      </c>
    </row>
    <row r="36" spans="1:14" s="5" customFormat="1" ht="11.25" customHeight="1" x14ac:dyDescent="0.2">
      <c r="A36" s="4" t="s">
        <v>31</v>
      </c>
      <c r="B36" s="6" t="s">
        <v>28</v>
      </c>
      <c r="C36" s="6" t="s">
        <v>28</v>
      </c>
      <c r="D36" s="6">
        <v>2</v>
      </c>
      <c r="E36" s="6" t="s">
        <v>28</v>
      </c>
      <c r="F36" s="6" t="s">
        <v>28</v>
      </c>
      <c r="G36" s="6" t="s">
        <v>28</v>
      </c>
      <c r="H36" s="6">
        <v>67.552999999999997</v>
      </c>
      <c r="I36" s="6">
        <v>318.447</v>
      </c>
      <c r="J36" s="6">
        <v>41</v>
      </c>
      <c r="K36" s="6">
        <v>45.206000000000003</v>
      </c>
      <c r="L36" s="6">
        <v>612.92100000000005</v>
      </c>
      <c r="M36" s="6">
        <v>3238.43</v>
      </c>
      <c r="N36" s="7">
        <v>4215.2920000000004</v>
      </c>
    </row>
    <row r="37" spans="1:14" s="5" customFormat="1" ht="11.25" customHeight="1" x14ac:dyDescent="0.2">
      <c r="A37" s="4" t="s">
        <v>26</v>
      </c>
      <c r="B37" s="6" t="s">
        <v>28</v>
      </c>
      <c r="C37" s="6" t="s">
        <v>28</v>
      </c>
      <c r="D37" s="6">
        <v>83</v>
      </c>
      <c r="E37" s="6">
        <v>134</v>
      </c>
      <c r="F37" s="6" t="s">
        <v>28</v>
      </c>
      <c r="G37" s="6" t="s">
        <v>28</v>
      </c>
      <c r="H37" s="6">
        <v>4208.6350000000002</v>
      </c>
      <c r="I37" s="6">
        <v>6287</v>
      </c>
      <c r="J37" s="6">
        <v>512</v>
      </c>
      <c r="K37" s="6">
        <v>617</v>
      </c>
      <c r="L37" s="6">
        <v>11129</v>
      </c>
      <c r="M37" s="6">
        <v>4548</v>
      </c>
      <c r="N37" s="7">
        <v>22715</v>
      </c>
    </row>
    <row r="38" spans="1:14" s="5" customFormat="1" ht="11.25" customHeight="1" x14ac:dyDescent="0.2">
      <c r="A38" s="38" t="s">
        <v>45</v>
      </c>
      <c r="B38" s="6">
        <v>26</v>
      </c>
      <c r="C38" s="6">
        <v>11</v>
      </c>
      <c r="D38" s="6">
        <v>3147</v>
      </c>
      <c r="E38" s="6">
        <v>3729</v>
      </c>
      <c r="F38" s="6">
        <v>1975</v>
      </c>
      <c r="G38" s="6">
        <v>2361</v>
      </c>
      <c r="H38" s="6">
        <v>16801.199000000001</v>
      </c>
      <c r="I38" s="6">
        <v>28378</v>
      </c>
      <c r="J38" s="6">
        <v>1180</v>
      </c>
      <c r="K38" s="6">
        <v>2418</v>
      </c>
      <c r="L38" s="6">
        <v>1325</v>
      </c>
      <c r="M38" s="6">
        <v>21887</v>
      </c>
      <c r="N38" s="7">
        <v>60110</v>
      </c>
    </row>
    <row r="39" spans="1:14" s="5" customFormat="1" ht="11.25" customHeight="1" x14ac:dyDescent="0.2">
      <c r="A39" s="4" t="s">
        <v>46</v>
      </c>
      <c r="B39" s="6" t="s">
        <v>28</v>
      </c>
      <c r="C39" s="6" t="s">
        <v>28</v>
      </c>
      <c r="D39" s="6">
        <v>16</v>
      </c>
      <c r="E39" s="6">
        <v>20</v>
      </c>
      <c r="F39" s="6" t="s">
        <v>28</v>
      </c>
      <c r="G39" s="6" t="s">
        <v>28</v>
      </c>
      <c r="H39" s="6">
        <v>35.012999999999998</v>
      </c>
      <c r="I39" s="6">
        <v>645</v>
      </c>
      <c r="J39" s="6" t="s">
        <v>28</v>
      </c>
      <c r="K39" s="6" t="s">
        <v>28</v>
      </c>
      <c r="L39" s="6">
        <v>26445</v>
      </c>
      <c r="M39" s="6">
        <v>2831</v>
      </c>
      <c r="N39" s="7">
        <v>29942</v>
      </c>
    </row>
    <row r="40" spans="1:14" s="5" customFormat="1" ht="11.25" customHeight="1" x14ac:dyDescent="0.2">
      <c r="A40" s="4" t="s">
        <v>75</v>
      </c>
      <c r="B40" s="6">
        <v>734</v>
      </c>
      <c r="C40" s="6">
        <v>403</v>
      </c>
      <c r="D40" s="6">
        <v>8567</v>
      </c>
      <c r="E40" s="6">
        <v>5434</v>
      </c>
      <c r="F40" s="6" t="s">
        <v>28</v>
      </c>
      <c r="G40" s="6" t="s">
        <v>28</v>
      </c>
      <c r="H40" s="6">
        <v>1021.6609999999999</v>
      </c>
      <c r="I40" s="6">
        <v>1675.0940000000001</v>
      </c>
      <c r="J40" s="6">
        <v>2876</v>
      </c>
      <c r="K40" s="6">
        <v>2687</v>
      </c>
      <c r="L40" s="6">
        <v>1230</v>
      </c>
      <c r="M40" s="6">
        <v>5078</v>
      </c>
      <c r="N40" s="7">
        <v>16507</v>
      </c>
    </row>
    <row r="41" spans="1:14" s="5" customFormat="1" ht="11.25" customHeight="1" x14ac:dyDescent="0.2">
      <c r="A41" s="85" t="s">
        <v>27</v>
      </c>
      <c r="B41" s="86">
        <v>3060</v>
      </c>
      <c r="C41" s="86">
        <v>2381</v>
      </c>
      <c r="D41" s="86">
        <v>55591</v>
      </c>
      <c r="E41" s="86">
        <v>56832</v>
      </c>
      <c r="F41" s="86">
        <v>3397</v>
      </c>
      <c r="G41" s="86">
        <v>3707</v>
      </c>
      <c r="H41" s="86">
        <v>490786.6</v>
      </c>
      <c r="I41" s="86">
        <v>657121</v>
      </c>
      <c r="J41" s="86">
        <v>25611</v>
      </c>
      <c r="K41" s="86">
        <v>32507</v>
      </c>
      <c r="L41" s="86">
        <v>193591</v>
      </c>
      <c r="M41" s="86">
        <v>384422</v>
      </c>
      <c r="N41" s="86">
        <v>1330562</v>
      </c>
    </row>
    <row r="42" spans="1:14" s="5" customFormat="1" ht="11.25" customHeight="1" x14ac:dyDescent="0.2">
      <c r="A42" s="3"/>
      <c r="B42" s="9"/>
      <c r="C42" s="9"/>
      <c r="D42" s="9"/>
      <c r="E42" s="9"/>
      <c r="F42" s="9"/>
      <c r="G42" s="9"/>
      <c r="H42" s="9"/>
      <c r="I42" s="9"/>
      <c r="J42" s="9"/>
      <c r="K42" s="9"/>
      <c r="L42" s="9"/>
      <c r="M42" s="9"/>
      <c r="N42" s="9"/>
    </row>
    <row r="43" spans="1:14" s="5" customFormat="1" ht="12.75" customHeight="1" x14ac:dyDescent="0.2">
      <c r="A43" s="79" t="s">
        <v>48</v>
      </c>
    </row>
    <row r="44" spans="1:14" s="5" customFormat="1" ht="12.75" customHeight="1" x14ac:dyDescent="0.2">
      <c r="A44" s="80" t="s">
        <v>49</v>
      </c>
    </row>
    <row r="45" spans="1:14" s="5" customFormat="1" ht="12.75" customHeight="1" x14ac:dyDescent="0.2">
      <c r="A45" s="80"/>
    </row>
    <row r="46" spans="1:14" s="5" customFormat="1" ht="12.75" customHeight="1" x14ac:dyDescent="0.2">
      <c r="A46" s="3" t="s">
        <v>37</v>
      </c>
    </row>
    <row r="47" spans="1:14" s="5" customFormat="1" ht="12.75" customHeight="1" x14ac:dyDescent="0.2">
      <c r="A47" s="4" t="s">
        <v>54</v>
      </c>
    </row>
    <row r="48" spans="1:14" s="5" customFormat="1" ht="12.75" customHeight="1" x14ac:dyDescent="0.2">
      <c r="A48" s="4" t="s">
        <v>55</v>
      </c>
    </row>
    <row r="49" spans="1:1" s="5" customFormat="1" ht="12.75" customHeight="1" x14ac:dyDescent="0.2">
      <c r="A49" s="4" t="s">
        <v>56</v>
      </c>
    </row>
    <row r="50" spans="1:1" s="5" customFormat="1" ht="12.75" customHeight="1" x14ac:dyDescent="0.2">
      <c r="A50" s="4" t="s">
        <v>67</v>
      </c>
    </row>
    <row r="51" spans="1:1" s="5" customFormat="1" ht="12.75" customHeight="1" x14ac:dyDescent="0.2">
      <c r="A51" s="4" t="s">
        <v>68</v>
      </c>
    </row>
    <row r="52" spans="1:1" s="5" customFormat="1" ht="12.75" customHeight="1" x14ac:dyDescent="0.2">
      <c r="A52" s="4" t="s">
        <v>72</v>
      </c>
    </row>
    <row r="53" spans="1:1" s="5" customFormat="1" ht="12.75" customHeight="1" x14ac:dyDescent="0.2">
      <c r="A53" s="4" t="s">
        <v>73</v>
      </c>
    </row>
    <row r="54" spans="1:1" s="5" customFormat="1" ht="12.75" customHeight="1" x14ac:dyDescent="0.2">
      <c r="A54" s="4" t="s">
        <v>74</v>
      </c>
    </row>
    <row r="55" spans="1:1" ht="12.75" customHeight="1" x14ac:dyDescent="0.2"/>
    <row r="56" spans="1:1" ht="12.75" customHeight="1" x14ac:dyDescent="0.2">
      <c r="A56" s="3" t="s">
        <v>50</v>
      </c>
    </row>
    <row r="57" spans="1:1" ht="12.75" customHeight="1" x14ac:dyDescent="0.2">
      <c r="A57" s="81" t="s">
        <v>51</v>
      </c>
    </row>
    <row r="58" spans="1:1" ht="11.25" customHeight="1" x14ac:dyDescent="0.2"/>
    <row r="59" spans="1:1" ht="11.25" customHeight="1" x14ac:dyDescent="0.2"/>
    <row r="60" spans="1:1" ht="11.25" customHeight="1" x14ac:dyDescent="0.2"/>
    <row r="61" spans="1:1" ht="11.25" customHeight="1" x14ac:dyDescent="0.2"/>
    <row r="62" spans="1:1" ht="11.25" customHeight="1" x14ac:dyDescent="0.2"/>
    <row r="63" spans="1:1" ht="11.25" customHeight="1" x14ac:dyDescent="0.2"/>
    <row r="64" spans="1:1" ht="11.25" customHeight="1" x14ac:dyDescent="0.2"/>
  </sheetData>
  <mergeCells count="6">
    <mergeCell ref="H3:I3"/>
    <mergeCell ref="J3:K3"/>
    <mergeCell ref="A3:A5"/>
    <mergeCell ref="B3:C3"/>
    <mergeCell ref="D3:E3"/>
    <mergeCell ref="F3:G3"/>
  </mergeCells>
  <phoneticPr fontId="2" type="noConversion"/>
  <pageMargins left="0.75" right="0.75" top="1" bottom="1" header="0.5" footer="0.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N69"/>
  <sheetViews>
    <sheetView workbookViewId="0"/>
  </sheetViews>
  <sheetFormatPr defaultRowHeight="12.75" x14ac:dyDescent="0.2"/>
  <cols>
    <col min="1" max="1" width="20" style="82" customWidth="1"/>
    <col min="2" max="11" width="8.7109375" style="1" customWidth="1"/>
    <col min="12" max="12" width="12.28515625" style="1" customWidth="1"/>
    <col min="13" max="14" width="11.7109375" style="1" customWidth="1"/>
    <col min="15" max="16384" width="9.140625" style="1"/>
  </cols>
  <sheetData>
    <row r="1" spans="1:14" s="2" customFormat="1" ht="17.25" customHeight="1" x14ac:dyDescent="0.25">
      <c r="A1" s="76" t="s">
        <v>77</v>
      </c>
    </row>
    <row r="2" spans="1:14" s="2" customFormat="1" ht="11.25" customHeight="1" x14ac:dyDescent="0.25">
      <c r="A2" s="76"/>
    </row>
    <row r="3" spans="1:14" s="77" customFormat="1" ht="25.5" customHeight="1" x14ac:dyDescent="0.2">
      <c r="A3" s="175" t="s">
        <v>38</v>
      </c>
      <c r="B3" s="170" t="s">
        <v>36</v>
      </c>
      <c r="C3" s="170"/>
      <c r="D3" s="173" t="s">
        <v>65</v>
      </c>
      <c r="E3" s="173"/>
      <c r="F3" s="170" t="s">
        <v>35</v>
      </c>
      <c r="G3" s="170"/>
      <c r="H3" s="173" t="s">
        <v>66</v>
      </c>
      <c r="I3" s="173"/>
      <c r="J3" s="170" t="s">
        <v>70</v>
      </c>
      <c r="K3" s="170"/>
      <c r="L3" s="90" t="s">
        <v>53</v>
      </c>
      <c r="M3" s="90" t="s">
        <v>71</v>
      </c>
      <c r="N3" s="90" t="s">
        <v>34</v>
      </c>
    </row>
    <row r="4" spans="1:14" s="77" customFormat="1" ht="10.5" x14ac:dyDescent="0.2">
      <c r="A4" s="175"/>
      <c r="B4" s="89" t="s">
        <v>59</v>
      </c>
      <c r="C4" s="89" t="s">
        <v>57</v>
      </c>
      <c r="D4" s="90" t="s">
        <v>69</v>
      </c>
      <c r="E4" s="90" t="s">
        <v>57</v>
      </c>
      <c r="F4" s="89" t="s">
        <v>58</v>
      </c>
      <c r="G4" s="89" t="s">
        <v>57</v>
      </c>
      <c r="H4" s="90" t="s">
        <v>58</v>
      </c>
      <c r="I4" s="90" t="s">
        <v>57</v>
      </c>
      <c r="J4" s="89" t="s">
        <v>58</v>
      </c>
      <c r="K4" s="89" t="s">
        <v>57</v>
      </c>
      <c r="L4" s="90" t="s">
        <v>57</v>
      </c>
      <c r="M4" s="90" t="s">
        <v>57</v>
      </c>
      <c r="N4" s="90" t="s">
        <v>57</v>
      </c>
    </row>
    <row r="5" spans="1:14" s="31" customFormat="1" ht="12.75" customHeight="1" x14ac:dyDescent="0.2">
      <c r="A5" s="176"/>
      <c r="B5" s="88" t="s">
        <v>60</v>
      </c>
      <c r="C5" s="88" t="s">
        <v>61</v>
      </c>
      <c r="D5" s="88" t="s">
        <v>62</v>
      </c>
      <c r="E5" s="88" t="s">
        <v>61</v>
      </c>
      <c r="F5" s="88" t="s">
        <v>63</v>
      </c>
      <c r="G5" s="88" t="s">
        <v>61</v>
      </c>
      <c r="H5" s="88" t="s">
        <v>63</v>
      </c>
      <c r="I5" s="88" t="s">
        <v>61</v>
      </c>
      <c r="J5" s="88" t="s">
        <v>64</v>
      </c>
      <c r="K5" s="88" t="s">
        <v>61</v>
      </c>
      <c r="L5" s="88" t="s">
        <v>61</v>
      </c>
      <c r="M5" s="88" t="s">
        <v>61</v>
      </c>
      <c r="N5" s="88" t="s">
        <v>61</v>
      </c>
    </row>
    <row r="6" spans="1:14" s="5" customFormat="1" ht="11.25" customHeight="1" x14ac:dyDescent="0.2">
      <c r="A6" s="83" t="s">
        <v>39</v>
      </c>
      <c r="B6" s="11">
        <v>38</v>
      </c>
      <c r="C6" s="11">
        <v>15.907999999999999</v>
      </c>
      <c r="D6" s="11">
        <v>183</v>
      </c>
      <c r="E6" s="11">
        <f>112479/1000</f>
        <v>112.479</v>
      </c>
      <c r="F6" s="11" t="s">
        <v>28</v>
      </c>
      <c r="G6" s="11" t="s">
        <v>28</v>
      </c>
      <c r="H6" s="11">
        <f>62108/1000</f>
        <v>62.107999999999997</v>
      </c>
      <c r="I6" s="11">
        <f>103950/1000</f>
        <v>103.95</v>
      </c>
      <c r="J6" s="11" t="s">
        <v>28</v>
      </c>
      <c r="K6" s="11" t="s">
        <v>28</v>
      </c>
      <c r="L6" s="12">
        <f>(17179+633+4418+1014+1852+43720)/1000</f>
        <v>68.816000000000003</v>
      </c>
      <c r="M6" s="12">
        <f>(667768+3635+565)/1000</f>
        <v>671.96799999999996</v>
      </c>
      <c r="N6" s="13">
        <f t="shared" ref="N6:N46" si="0">SUM(M6,L6,K6,I6,G6,E6,C6)</f>
        <v>973.12100000000009</v>
      </c>
    </row>
    <row r="7" spans="1:14" s="5" customFormat="1" ht="11.25" customHeight="1" x14ac:dyDescent="0.2">
      <c r="A7" s="38" t="s">
        <v>0</v>
      </c>
      <c r="B7" s="14">
        <v>1874</v>
      </c>
      <c r="C7" s="14">
        <f>1087081/1000</f>
        <v>1087.0809999999999</v>
      </c>
      <c r="D7" s="14">
        <v>6139</v>
      </c>
      <c r="E7" s="14">
        <f>7251508/1000</f>
        <v>7251.5079999999998</v>
      </c>
      <c r="F7" s="15">
        <f>319-9</f>
        <v>310</v>
      </c>
      <c r="G7" s="15">
        <f>433638/1000-40.485</f>
        <v>393.15299999999996</v>
      </c>
      <c r="H7" s="14">
        <f>148+(207738808)/1000</f>
        <v>207886.80799999999</v>
      </c>
      <c r="I7" s="14">
        <f>(218042+256841497)/1000</f>
        <v>257059.53899999999</v>
      </c>
      <c r="J7" s="14">
        <v>11095</v>
      </c>
      <c r="K7" s="14">
        <f>9671692/1000</f>
        <v>9671.6919999999991</v>
      </c>
      <c r="L7" s="14">
        <f>15256774/1000</f>
        <v>15256.773999999999</v>
      </c>
      <c r="M7" s="14">
        <f>(178091845+2856340+14672479)/1000+40.485</f>
        <v>195661.14899999998</v>
      </c>
      <c r="N7" s="16">
        <f t="shared" si="0"/>
        <v>486380.89599999995</v>
      </c>
    </row>
    <row r="8" spans="1:14" s="5" customFormat="1" ht="11.25" customHeight="1" x14ac:dyDescent="0.2">
      <c r="A8" s="38" t="s">
        <v>1</v>
      </c>
      <c r="B8" s="15" t="s">
        <v>28</v>
      </c>
      <c r="C8" s="15"/>
      <c r="D8" s="15">
        <v>11</v>
      </c>
      <c r="E8" s="15">
        <f>11061/1000</f>
        <v>11.061</v>
      </c>
      <c r="F8" s="15" t="s">
        <v>28</v>
      </c>
      <c r="G8" s="15" t="s">
        <v>28</v>
      </c>
      <c r="H8" s="14">
        <f>(2717439)/1000</f>
        <v>2717.4389999999999</v>
      </c>
      <c r="I8" s="14">
        <f>(5542275)/1000</f>
        <v>5542.2749999999996</v>
      </c>
      <c r="J8" s="15" t="s">
        <v>28</v>
      </c>
      <c r="K8" s="15">
        <f>340894/1000</f>
        <v>340.89400000000001</v>
      </c>
      <c r="L8" s="14">
        <f>22657/1000</f>
        <v>22.657</v>
      </c>
      <c r="M8" s="14">
        <f>(72710+3985+1369)/1000</f>
        <v>78.063999999999993</v>
      </c>
      <c r="N8" s="16">
        <f t="shared" si="0"/>
        <v>5994.9509999999991</v>
      </c>
    </row>
    <row r="9" spans="1:14" s="5" customFormat="1" ht="11.25" customHeight="1" x14ac:dyDescent="0.2">
      <c r="A9" s="38" t="s">
        <v>2</v>
      </c>
      <c r="B9" s="15" t="s">
        <v>28</v>
      </c>
      <c r="C9" s="15" t="s">
        <v>28</v>
      </c>
      <c r="D9" s="15" t="s">
        <v>28</v>
      </c>
      <c r="E9" s="15" t="s">
        <v>28</v>
      </c>
      <c r="F9" s="15" t="s">
        <v>28</v>
      </c>
      <c r="G9" s="15" t="s">
        <v>28</v>
      </c>
      <c r="H9" s="14">
        <f>636+14054920/1000</f>
        <v>14690.92</v>
      </c>
      <c r="I9" s="14">
        <f>(493315+20977910)/1000</f>
        <v>21471.224999999999</v>
      </c>
      <c r="J9" s="15">
        <v>172</v>
      </c>
      <c r="K9" s="15">
        <f>258551/1000</f>
        <v>258.55099999999999</v>
      </c>
      <c r="L9" s="15">
        <f>255809/1000</f>
        <v>255.809</v>
      </c>
      <c r="M9" s="14">
        <f>(2680625+384597)/1000</f>
        <v>3065.2220000000002</v>
      </c>
      <c r="N9" s="16">
        <f t="shared" si="0"/>
        <v>25050.807000000001</v>
      </c>
    </row>
    <row r="10" spans="1:14" s="5" customFormat="1" ht="11.25" customHeight="1" x14ac:dyDescent="0.2">
      <c r="A10" s="38" t="s">
        <v>3</v>
      </c>
      <c r="B10" s="15">
        <v>18</v>
      </c>
      <c r="C10" s="15">
        <f>18239/1000</f>
        <v>18.239000000000001</v>
      </c>
      <c r="D10" s="15">
        <v>275</v>
      </c>
      <c r="E10" s="15">
        <f>287029/1000</f>
        <v>287.029</v>
      </c>
      <c r="F10" s="15" t="s">
        <v>28</v>
      </c>
      <c r="G10" s="15" t="s">
        <v>28</v>
      </c>
      <c r="H10" s="15">
        <f>853193/1000</f>
        <v>853.19299999999998</v>
      </c>
      <c r="I10" s="15">
        <f>1325508/1000</f>
        <v>1325.508</v>
      </c>
      <c r="J10" s="14">
        <v>90</v>
      </c>
      <c r="K10" s="14">
        <f>83284/1000</f>
        <v>83.284000000000006</v>
      </c>
      <c r="L10" s="14">
        <f>241908/1000</f>
        <v>241.90799999999999</v>
      </c>
      <c r="M10" s="14">
        <f>(911041+88642+13062)/1000</f>
        <v>1012.745</v>
      </c>
      <c r="N10" s="16">
        <f t="shared" si="0"/>
        <v>2968.7130000000002</v>
      </c>
    </row>
    <row r="11" spans="1:14" s="5" customFormat="1" ht="11.25" customHeight="1" x14ac:dyDescent="0.2">
      <c r="A11" s="40" t="s">
        <v>29</v>
      </c>
      <c r="B11" s="17" t="s">
        <v>28</v>
      </c>
      <c r="C11" s="17" t="s">
        <v>28</v>
      </c>
      <c r="D11" s="18">
        <v>2</v>
      </c>
      <c r="E11" s="18">
        <f>3036/1000</f>
        <v>3.036</v>
      </c>
      <c r="F11" s="17" t="s">
        <v>28</v>
      </c>
      <c r="G11" s="17" t="s">
        <v>28</v>
      </c>
      <c r="H11" s="18">
        <f>(2845242+1499)/1000</f>
        <v>2846.741</v>
      </c>
      <c r="I11" s="18">
        <f>(9919687)/1000</f>
        <v>9919.6869999999999</v>
      </c>
      <c r="J11" s="18">
        <v>15</v>
      </c>
      <c r="K11" s="18">
        <f>23285/1000</f>
        <v>23.285</v>
      </c>
      <c r="L11" s="18">
        <f>779157/1000</f>
        <v>779.15700000000004</v>
      </c>
      <c r="M11" s="18">
        <f>(5241555+1412+754509-3969)/1000</f>
        <v>5993.5069999999996</v>
      </c>
      <c r="N11" s="16">
        <f t="shared" si="0"/>
        <v>16718.671999999999</v>
      </c>
    </row>
    <row r="12" spans="1:14" s="5" customFormat="1" ht="11.25" customHeight="1" x14ac:dyDescent="0.2">
      <c r="A12" s="38" t="s">
        <v>4</v>
      </c>
      <c r="B12" s="17">
        <v>17</v>
      </c>
      <c r="C12" s="17">
        <f>9294/1000</f>
        <v>9.2940000000000005</v>
      </c>
      <c r="D12" s="14">
        <v>18514</v>
      </c>
      <c r="E12" s="14">
        <f>23597720/1000</f>
        <v>23597.72</v>
      </c>
      <c r="F12" s="15">
        <f>2797</f>
        <v>2797</v>
      </c>
      <c r="G12" s="15">
        <f>2130935/1000</f>
        <v>2130.9349999999999</v>
      </c>
      <c r="H12" s="14">
        <f>421+(1895727)/1000</f>
        <v>2316.7269999999999</v>
      </c>
      <c r="I12" s="14">
        <f>(382095+2873427)/1000</f>
        <v>3255.5219999999999</v>
      </c>
      <c r="J12" s="14">
        <v>212</v>
      </c>
      <c r="K12" s="14">
        <f>729338/1000</f>
        <v>729.33799999999997</v>
      </c>
      <c r="L12" s="14">
        <f>219271/1000</f>
        <v>219.27099999999999</v>
      </c>
      <c r="M12" s="14">
        <f>(1711033+50241+1075374)/1000</f>
        <v>2836.6480000000001</v>
      </c>
      <c r="N12" s="16">
        <f t="shared" si="0"/>
        <v>32778.728000000003</v>
      </c>
    </row>
    <row r="13" spans="1:14" s="5" customFormat="1" ht="11.25" customHeight="1" x14ac:dyDescent="0.2">
      <c r="A13" s="38" t="s">
        <v>32</v>
      </c>
      <c r="B13" s="15" t="s">
        <v>28</v>
      </c>
      <c r="C13" s="15" t="s">
        <v>28</v>
      </c>
      <c r="D13" s="15">
        <v>109</v>
      </c>
      <c r="E13" s="15">
        <f>65290/1000</f>
        <v>65.290000000000006</v>
      </c>
      <c r="F13" s="15" t="s">
        <v>28</v>
      </c>
      <c r="G13" s="15" t="s">
        <v>28</v>
      </c>
      <c r="H13" s="15" t="s">
        <v>28</v>
      </c>
      <c r="I13" s="15" t="s">
        <v>28</v>
      </c>
      <c r="J13" s="14">
        <f>33+2115</f>
        <v>2148</v>
      </c>
      <c r="K13" s="14">
        <f>(16109+1705025)/1000</f>
        <v>1721.134</v>
      </c>
      <c r="L13" s="15" t="s">
        <v>28</v>
      </c>
      <c r="M13" s="14">
        <f>(220+341347+26037+20291+10487+41932+511)/1000</f>
        <v>440.82499999999999</v>
      </c>
      <c r="N13" s="16">
        <f t="shared" si="0"/>
        <v>2227.2489999999998</v>
      </c>
    </row>
    <row r="14" spans="1:14" s="5" customFormat="1" ht="11.25" customHeight="1" x14ac:dyDescent="0.2">
      <c r="A14" s="40" t="s">
        <v>40</v>
      </c>
      <c r="B14" s="17">
        <v>110</v>
      </c>
      <c r="C14" s="17">
        <f>16278/1000</f>
        <v>16.277999999999999</v>
      </c>
      <c r="D14" s="18">
        <v>218</v>
      </c>
      <c r="E14" s="18">
        <f>282055/1000</f>
        <v>282.05500000000001</v>
      </c>
      <c r="F14" s="17" t="s">
        <v>28</v>
      </c>
      <c r="G14" s="17" t="s">
        <v>28</v>
      </c>
      <c r="H14" s="18">
        <f>(38120+11303691+1)/1000</f>
        <v>11341.812</v>
      </c>
      <c r="I14" s="18">
        <f>(35108+17096602+11)/1000</f>
        <v>17131.721000000001</v>
      </c>
      <c r="J14" s="15">
        <v>2544</v>
      </c>
      <c r="K14" s="18">
        <f>2999614/1000</f>
        <v>2999.614</v>
      </c>
      <c r="L14" s="18">
        <f>48325694/1000</f>
        <v>48325.694000000003</v>
      </c>
      <c r="M14" s="18">
        <f>(15197800+595612+10019261)/1000</f>
        <v>25812.672999999999</v>
      </c>
      <c r="N14" s="16">
        <f t="shared" si="0"/>
        <v>94568.035000000003</v>
      </c>
    </row>
    <row r="15" spans="1:14" s="5" customFormat="1" ht="11.25" customHeight="1" x14ac:dyDescent="0.2">
      <c r="A15" s="40" t="s">
        <v>5</v>
      </c>
      <c r="B15" s="17" t="s">
        <v>28</v>
      </c>
      <c r="C15" s="17" t="s">
        <v>28</v>
      </c>
      <c r="D15" s="17">
        <v>134</v>
      </c>
      <c r="E15" s="17">
        <f>394969/1000</f>
        <v>394.96899999999999</v>
      </c>
      <c r="F15" s="17" t="s">
        <v>28</v>
      </c>
      <c r="G15" s="17" t="s">
        <v>28</v>
      </c>
      <c r="H15" s="18">
        <f>146689/1000</f>
        <v>146.68899999999999</v>
      </c>
      <c r="I15" s="18">
        <f>497509/1000</f>
        <v>497.50900000000001</v>
      </c>
      <c r="J15" s="15">
        <v>24</v>
      </c>
      <c r="K15" s="15">
        <f>31180/1000</f>
        <v>31.18</v>
      </c>
      <c r="L15" s="18">
        <f>4112092/1000</f>
        <v>4112.0919999999996</v>
      </c>
      <c r="M15" s="18">
        <f>(5114343+320271+1959167)/1000</f>
        <v>7393.7809999999999</v>
      </c>
      <c r="N15" s="16">
        <f t="shared" si="0"/>
        <v>12429.530999999999</v>
      </c>
    </row>
    <row r="16" spans="1:14" s="5" customFormat="1" ht="11.25" customHeight="1" x14ac:dyDescent="0.2">
      <c r="A16" s="38" t="s">
        <v>6</v>
      </c>
      <c r="B16" s="15">
        <v>164</v>
      </c>
      <c r="C16" s="15">
        <f>176991/1000</f>
        <v>176.99100000000001</v>
      </c>
      <c r="D16" s="14">
        <v>3038</v>
      </c>
      <c r="E16" s="14">
        <f>3049294/1000</f>
        <v>3049.2939999999999</v>
      </c>
      <c r="F16" s="15" t="s">
        <v>28</v>
      </c>
      <c r="G16" s="15" t="s">
        <v>28</v>
      </c>
      <c r="H16" s="15">
        <f>16769/1000</f>
        <v>16.768999999999998</v>
      </c>
      <c r="I16" s="15">
        <f>26212/1000</f>
        <v>26.212</v>
      </c>
      <c r="J16" s="14">
        <v>605</v>
      </c>
      <c r="K16" s="14">
        <f>828226/1000</f>
        <v>828.226</v>
      </c>
      <c r="L16" s="19">
        <f>452828/1000</f>
        <v>452.82799999999997</v>
      </c>
      <c r="M16" s="14">
        <f>(162207+39723+134431)/1000</f>
        <v>336.36099999999999</v>
      </c>
      <c r="N16" s="16">
        <f t="shared" si="0"/>
        <v>4869.9120000000003</v>
      </c>
    </row>
    <row r="17" spans="1:14" s="5" customFormat="1" ht="11.25" customHeight="1" x14ac:dyDescent="0.2">
      <c r="A17" s="38" t="s">
        <v>7</v>
      </c>
      <c r="B17" s="15" t="s">
        <v>28</v>
      </c>
      <c r="C17" s="15" t="s">
        <v>28</v>
      </c>
      <c r="D17" s="15">
        <v>13</v>
      </c>
      <c r="E17" s="15">
        <f>13322/1000</f>
        <v>13.321999999999999</v>
      </c>
      <c r="F17" s="15" t="s">
        <v>28</v>
      </c>
      <c r="G17" s="15" t="s">
        <v>28</v>
      </c>
      <c r="H17" s="14">
        <f>27+1815+32807110/1000</f>
        <v>34649.11</v>
      </c>
      <c r="I17" s="14">
        <f>(1709042+43308681)/1000</f>
        <v>45017.722999999998</v>
      </c>
      <c r="J17" s="15">
        <v>49</v>
      </c>
      <c r="K17" s="19">
        <f>185968/1000</f>
        <v>185.96799999999999</v>
      </c>
      <c r="L17" s="19">
        <f>28425/1000</f>
        <v>28.425000000000001</v>
      </c>
      <c r="M17" s="14">
        <f>(752076+2507)/1000</f>
        <v>754.58299999999997</v>
      </c>
      <c r="N17" s="16">
        <f t="shared" si="0"/>
        <v>46000.021000000001</v>
      </c>
    </row>
    <row r="18" spans="1:14" s="5" customFormat="1" ht="11.25" customHeight="1" x14ac:dyDescent="0.2">
      <c r="A18" s="38" t="s">
        <v>8</v>
      </c>
      <c r="B18" s="15" t="s">
        <v>28</v>
      </c>
      <c r="C18" s="15" t="s">
        <v>28</v>
      </c>
      <c r="D18" s="15">
        <v>585</v>
      </c>
      <c r="E18" s="15">
        <f>705260/1000</f>
        <v>705.26</v>
      </c>
      <c r="F18" s="15" t="s">
        <v>28</v>
      </c>
      <c r="G18" s="15" t="s">
        <v>28</v>
      </c>
      <c r="H18" s="14">
        <f>4307195/1000</f>
        <v>4307.1949999999997</v>
      </c>
      <c r="I18" s="14">
        <f>8444085/1000</f>
        <v>8444.0849999999991</v>
      </c>
      <c r="J18" s="15">
        <v>87</v>
      </c>
      <c r="K18" s="19">
        <f>197945/1000</f>
        <v>197.94499999999999</v>
      </c>
      <c r="L18" s="19">
        <f>1235019/1000</f>
        <v>1235.019</v>
      </c>
      <c r="M18" s="14">
        <f>(8550540+3558+18832762)/1000</f>
        <v>27386.86</v>
      </c>
      <c r="N18" s="20">
        <f t="shared" si="0"/>
        <v>37969.169000000002</v>
      </c>
    </row>
    <row r="19" spans="1:14" s="5" customFormat="1" ht="11.25" customHeight="1" x14ac:dyDescent="0.2">
      <c r="A19" s="41" t="s">
        <v>9</v>
      </c>
      <c r="B19" s="15">
        <v>1</v>
      </c>
      <c r="C19" s="15">
        <f>2205/1000</f>
        <v>2.2050000000000001</v>
      </c>
      <c r="D19" s="15">
        <v>112</v>
      </c>
      <c r="E19" s="15">
        <f>115812/1000</f>
        <v>115.812</v>
      </c>
      <c r="F19" s="15">
        <f>197-181</f>
        <v>16</v>
      </c>
      <c r="G19" s="15">
        <f>642192/1000-582.41</f>
        <v>59.782000000000039</v>
      </c>
      <c r="H19" s="14">
        <f>(19052656)/1000</f>
        <v>19052.655999999999</v>
      </c>
      <c r="I19" s="14">
        <f>(34015022)/1000</f>
        <v>34015.021999999997</v>
      </c>
      <c r="J19" s="14">
        <v>375</v>
      </c>
      <c r="K19" s="14">
        <f>972742/1000</f>
        <v>972.74199999999996</v>
      </c>
      <c r="L19" s="14">
        <f>1445971/1000</f>
        <v>1445.971</v>
      </c>
      <c r="M19" s="14">
        <f>(20155232+174+66611+629076)/1000+582.41</f>
        <v>21433.503000000001</v>
      </c>
      <c r="N19" s="16">
        <f t="shared" si="0"/>
        <v>58045.036999999997</v>
      </c>
    </row>
    <row r="20" spans="1:14" s="5" customFormat="1" ht="11.25" customHeight="1" x14ac:dyDescent="0.2">
      <c r="A20" s="38" t="s">
        <v>41</v>
      </c>
      <c r="B20" s="15" t="s">
        <v>28</v>
      </c>
      <c r="C20" s="15" t="s">
        <v>28</v>
      </c>
      <c r="D20" s="15">
        <v>756</v>
      </c>
      <c r="E20" s="15">
        <f>51699/1000</f>
        <v>51.698999999999998</v>
      </c>
      <c r="F20" s="15" t="s">
        <v>28</v>
      </c>
      <c r="G20" s="15" t="s">
        <v>28</v>
      </c>
      <c r="H20" s="14">
        <f>27367/1000</f>
        <v>27.367000000000001</v>
      </c>
      <c r="I20" s="14">
        <f>89775/1000</f>
        <v>89.775000000000006</v>
      </c>
      <c r="J20" s="17">
        <v>15</v>
      </c>
      <c r="K20" s="17">
        <f>20557/1000</f>
        <v>20.556999999999999</v>
      </c>
      <c r="L20" s="15">
        <f>766328/1000</f>
        <v>766.32799999999997</v>
      </c>
      <c r="M20" s="14">
        <f>(1809612+68519+269266)/1000</f>
        <v>2147.3969999999999</v>
      </c>
      <c r="N20" s="16">
        <f t="shared" si="0"/>
        <v>3075.7559999999999</v>
      </c>
    </row>
    <row r="21" spans="1:14" s="5" customFormat="1" ht="11.25" customHeight="1" x14ac:dyDescent="0.2">
      <c r="A21" s="40" t="s">
        <v>10</v>
      </c>
      <c r="B21" s="17" t="s">
        <v>28</v>
      </c>
      <c r="C21" s="17" t="s">
        <v>28</v>
      </c>
      <c r="D21" s="17" t="s">
        <v>28</v>
      </c>
      <c r="E21" s="17" t="s">
        <v>28</v>
      </c>
      <c r="F21" s="17" t="s">
        <v>28</v>
      </c>
      <c r="G21" s="17" t="s">
        <v>28</v>
      </c>
      <c r="H21" s="18">
        <f>202611/1000</f>
        <v>202.61099999999999</v>
      </c>
      <c r="I21" s="18">
        <f>380961/1000</f>
        <v>380.96100000000001</v>
      </c>
      <c r="J21" s="17">
        <v>48</v>
      </c>
      <c r="K21" s="17">
        <f>24341/1000</f>
        <v>24.341000000000001</v>
      </c>
      <c r="L21" s="17">
        <f>839224/1000</f>
        <v>839.22400000000005</v>
      </c>
      <c r="M21" s="18">
        <f>(907350+423817)/1000</f>
        <v>1331.1669999999999</v>
      </c>
      <c r="N21" s="16">
        <f t="shared" si="0"/>
        <v>2575.6930000000002</v>
      </c>
    </row>
    <row r="22" spans="1:14" s="5" customFormat="1" ht="11.25" customHeight="1" x14ac:dyDescent="0.2">
      <c r="A22" s="38" t="s">
        <v>11</v>
      </c>
      <c r="B22" s="17" t="s">
        <v>28</v>
      </c>
      <c r="C22" s="17" t="s">
        <v>28</v>
      </c>
      <c r="D22" s="14">
        <v>2346</v>
      </c>
      <c r="E22" s="14">
        <f>2512581/1000</f>
        <v>2512.5810000000001</v>
      </c>
      <c r="F22" s="17" t="s">
        <v>28</v>
      </c>
      <c r="G22" s="17" t="s">
        <v>28</v>
      </c>
      <c r="H22" s="14">
        <f>659+42362216/1000</f>
        <v>43021.216</v>
      </c>
      <c r="I22" s="14">
        <f>(950578+57698017)/1000</f>
        <v>58648.595000000001</v>
      </c>
      <c r="J22" s="14">
        <v>1058</v>
      </c>
      <c r="K22" s="14">
        <f>1342454/1000</f>
        <v>1342.454</v>
      </c>
      <c r="L22" s="14">
        <f>11107103/1000</f>
        <v>11107.102999999999</v>
      </c>
      <c r="M22" s="14">
        <f>(8334265+10842853+2364640)/1000</f>
        <v>21541.758000000002</v>
      </c>
      <c r="N22" s="16">
        <f t="shared" si="0"/>
        <v>95152.491000000009</v>
      </c>
    </row>
    <row r="23" spans="1:14" s="5" customFormat="1" ht="11.25" customHeight="1" x14ac:dyDescent="0.2">
      <c r="A23" s="38" t="s">
        <v>12</v>
      </c>
      <c r="B23" s="15">
        <v>30</v>
      </c>
      <c r="C23" s="15">
        <f>49468/1000</f>
        <v>49.468000000000004</v>
      </c>
      <c r="D23" s="15">
        <v>236</v>
      </c>
      <c r="E23" s="15">
        <f>220454/1000</f>
        <v>220.45400000000001</v>
      </c>
      <c r="F23" s="15">
        <v>7</v>
      </c>
      <c r="G23" s="15">
        <f>16229/1000</f>
        <v>16.228999999999999</v>
      </c>
      <c r="H23" s="14">
        <f>9564974/1000</f>
        <v>9564.9740000000002</v>
      </c>
      <c r="I23" s="14">
        <f>(13324272)/1000</f>
        <v>13324.272000000001</v>
      </c>
      <c r="J23" s="15">
        <v>130</v>
      </c>
      <c r="K23" s="15">
        <f>515726/1000</f>
        <v>515.726</v>
      </c>
      <c r="L23" s="15">
        <f>12456858/1000</f>
        <v>12456.858</v>
      </c>
      <c r="M23" s="14">
        <f>(4272836+590941+421573)/1000</f>
        <v>5285.35</v>
      </c>
      <c r="N23" s="16">
        <f t="shared" si="0"/>
        <v>31868.357</v>
      </c>
    </row>
    <row r="24" spans="1:14" s="5" customFormat="1" ht="11.25" customHeight="1" x14ac:dyDescent="0.2">
      <c r="A24" s="38" t="s">
        <v>13</v>
      </c>
      <c r="B24" s="15" t="s">
        <v>28</v>
      </c>
      <c r="C24" s="15" t="s">
        <v>28</v>
      </c>
      <c r="D24" s="15">
        <v>4</v>
      </c>
      <c r="E24" s="15">
        <f>6708/1000</f>
        <v>6.7080000000000002</v>
      </c>
      <c r="F24" s="15">
        <v>60</v>
      </c>
      <c r="G24" s="15">
        <f>59186/1000</f>
        <v>59.186</v>
      </c>
      <c r="H24" s="14">
        <f>(17123468)/1000</f>
        <v>17123.468000000001</v>
      </c>
      <c r="I24" s="14">
        <f>(29539370)/1000</f>
        <v>29539.37</v>
      </c>
      <c r="J24" s="15">
        <v>10</v>
      </c>
      <c r="K24" s="15">
        <f>10482/1000</f>
        <v>10.481999999999999</v>
      </c>
      <c r="L24" s="15">
        <f>104339/1000</f>
        <v>104.339</v>
      </c>
      <c r="M24" s="14">
        <f>(1146804+202003)/1000</f>
        <v>1348.807</v>
      </c>
      <c r="N24" s="16">
        <f t="shared" si="0"/>
        <v>31068.892</v>
      </c>
    </row>
    <row r="25" spans="1:14" s="5" customFormat="1" ht="11.25" customHeight="1" x14ac:dyDescent="0.2">
      <c r="A25" s="41" t="s">
        <v>42</v>
      </c>
      <c r="B25" s="15" t="s">
        <v>28</v>
      </c>
      <c r="C25" s="19" t="s">
        <v>28</v>
      </c>
      <c r="D25" s="15">
        <v>41</v>
      </c>
      <c r="E25" s="15">
        <f>3715/1000</f>
        <v>3.7149999999999999</v>
      </c>
      <c r="F25" s="15" t="s">
        <v>28</v>
      </c>
      <c r="G25" s="15" t="s">
        <v>28</v>
      </c>
      <c r="H25" s="14">
        <f>2453+(14282846+10)/1000</f>
        <v>16735.856</v>
      </c>
      <c r="I25" s="14">
        <f>(1990011+19710081+172)/1000</f>
        <v>21700.263999999999</v>
      </c>
      <c r="J25" s="15">
        <v>9</v>
      </c>
      <c r="K25" s="17">
        <f>6721/1000</f>
        <v>6.7210000000000001</v>
      </c>
      <c r="L25" s="15">
        <f>422948/1000</f>
        <v>422.94799999999998</v>
      </c>
      <c r="M25" s="14">
        <f>(525855+16342+49610-172)/1000</f>
        <v>591.63499999999999</v>
      </c>
      <c r="N25" s="16">
        <f t="shared" si="0"/>
        <v>22725.282999999999</v>
      </c>
    </row>
    <row r="26" spans="1:14" s="5" customFormat="1" ht="11.25" customHeight="1" x14ac:dyDescent="0.2">
      <c r="A26" s="38" t="s">
        <v>14</v>
      </c>
      <c r="B26" s="15">
        <v>11</v>
      </c>
      <c r="C26" s="19">
        <f>72602/1000</f>
        <v>72.602000000000004</v>
      </c>
      <c r="D26" s="14">
        <v>618</v>
      </c>
      <c r="E26" s="14">
        <f>1027530/1000</f>
        <v>1027.53</v>
      </c>
      <c r="F26" s="15" t="s">
        <v>28</v>
      </c>
      <c r="G26" s="15" t="s">
        <v>28</v>
      </c>
      <c r="H26" s="14">
        <f>(4544364+59920)/1000</f>
        <v>4604.2839999999997</v>
      </c>
      <c r="I26" s="14">
        <f>(6306090+144588)/1000</f>
        <v>6450.6779999999999</v>
      </c>
      <c r="J26" s="14">
        <v>3235</v>
      </c>
      <c r="K26" s="14">
        <f>3480121/1000</f>
        <v>3480.1210000000001</v>
      </c>
      <c r="L26" s="14">
        <f>36987684/1000</f>
        <v>36987.684000000001</v>
      </c>
      <c r="M26" s="14">
        <f>(9288167+1603135+539126-144588)/1000</f>
        <v>11285.84</v>
      </c>
      <c r="N26" s="16">
        <f t="shared" si="0"/>
        <v>59304.455000000002</v>
      </c>
    </row>
    <row r="27" spans="1:14" s="5" customFormat="1" ht="11.25" customHeight="1" x14ac:dyDescent="0.2">
      <c r="A27" s="38" t="s">
        <v>15</v>
      </c>
      <c r="B27" s="15" t="s">
        <v>28</v>
      </c>
      <c r="C27" s="19" t="s">
        <v>28</v>
      </c>
      <c r="D27" s="15" t="s">
        <v>28</v>
      </c>
      <c r="E27" s="19" t="s">
        <v>28</v>
      </c>
      <c r="F27" s="15" t="s">
        <v>28</v>
      </c>
      <c r="G27" s="19" t="s">
        <v>28</v>
      </c>
      <c r="H27" s="14">
        <f>781/1000</f>
        <v>0.78100000000000003</v>
      </c>
      <c r="I27" s="14">
        <f>16082/1000</f>
        <v>16.082000000000001</v>
      </c>
      <c r="J27" s="15" t="s">
        <v>28</v>
      </c>
      <c r="K27" s="19" t="s">
        <v>28</v>
      </c>
      <c r="L27" s="14">
        <f>17434/1000</f>
        <v>17.434000000000001</v>
      </c>
      <c r="M27" s="14">
        <f>(905724+874+13784)/1000</f>
        <v>920.38199999999995</v>
      </c>
      <c r="N27" s="16">
        <f t="shared" si="0"/>
        <v>953.89799999999991</v>
      </c>
    </row>
    <row r="28" spans="1:14" s="5" customFormat="1" ht="11.25" customHeight="1" x14ac:dyDescent="0.2">
      <c r="A28" s="38" t="s">
        <v>16</v>
      </c>
      <c r="B28" s="15" t="s">
        <v>28</v>
      </c>
      <c r="C28" s="15" t="s">
        <v>28</v>
      </c>
      <c r="D28" s="15" t="s">
        <v>28</v>
      </c>
      <c r="E28" s="15" t="s">
        <v>28</v>
      </c>
      <c r="F28" s="15" t="s">
        <v>28</v>
      </c>
      <c r="G28" s="15" t="s">
        <v>28</v>
      </c>
      <c r="H28" s="14">
        <f>(3363763)/1000</f>
        <v>3363.7629999999999</v>
      </c>
      <c r="I28" s="14">
        <f>(7490174)/1000</f>
        <v>7490.174</v>
      </c>
      <c r="J28" s="15">
        <v>15</v>
      </c>
      <c r="K28" s="15">
        <f>43460/1000</f>
        <v>43.46</v>
      </c>
      <c r="L28" s="14">
        <f>649727/1000</f>
        <v>649.72699999999998</v>
      </c>
      <c r="M28" s="14">
        <f>(4510736+1007414)/1000+86.069</f>
        <v>5604.2190000000001</v>
      </c>
      <c r="N28" s="16">
        <f t="shared" si="0"/>
        <v>13787.58</v>
      </c>
    </row>
    <row r="29" spans="1:14" s="5" customFormat="1" ht="11.25" customHeight="1" x14ac:dyDescent="0.2">
      <c r="A29" s="38" t="s">
        <v>17</v>
      </c>
      <c r="B29" s="15" t="s">
        <v>28</v>
      </c>
      <c r="C29" s="15" t="s">
        <v>28</v>
      </c>
      <c r="D29" s="15">
        <v>2</v>
      </c>
      <c r="E29" s="15">
        <f>2389/1000</f>
        <v>2.3889999999999998</v>
      </c>
      <c r="F29" s="15" t="s">
        <v>28</v>
      </c>
      <c r="G29" s="15" t="s">
        <v>28</v>
      </c>
      <c r="H29" s="14">
        <f>521616/1000</f>
        <v>521.61599999999999</v>
      </c>
      <c r="I29" s="14">
        <f>1163627/1000</f>
        <v>1163.627</v>
      </c>
      <c r="J29" s="15" t="s">
        <v>28</v>
      </c>
      <c r="K29" s="15" t="s">
        <v>28</v>
      </c>
      <c r="L29" s="15">
        <f>65939/1000</f>
        <v>65.938999999999993</v>
      </c>
      <c r="M29" s="14">
        <f>(6688+12803)/1000</f>
        <v>19.491</v>
      </c>
      <c r="N29" s="16">
        <f t="shared" si="0"/>
        <v>1251.4459999999999</v>
      </c>
    </row>
    <row r="30" spans="1:14" s="5" customFormat="1" ht="11.25" customHeight="1" x14ac:dyDescent="0.2">
      <c r="A30" s="38" t="s">
        <v>18</v>
      </c>
      <c r="B30" s="15">
        <v>112</v>
      </c>
      <c r="C30" s="15">
        <f>87730/1000</f>
        <v>87.73</v>
      </c>
      <c r="D30" s="14">
        <v>3850</v>
      </c>
      <c r="E30" s="14">
        <f>2350870/1000</f>
        <v>2350.87</v>
      </c>
      <c r="F30" s="15" t="s">
        <v>28</v>
      </c>
      <c r="G30" s="15" t="s">
        <v>28</v>
      </c>
      <c r="H30" s="15" t="s">
        <v>28</v>
      </c>
      <c r="I30" s="15" t="s">
        <v>28</v>
      </c>
      <c r="J30" s="15">
        <v>85</v>
      </c>
      <c r="K30" s="15">
        <f>102018/1000</f>
        <v>102.018</v>
      </c>
      <c r="L30" s="15">
        <f>83625/1000</f>
        <v>83.625</v>
      </c>
      <c r="M30" s="14">
        <f>(25904+350424+35136)/1000</f>
        <v>411.464</v>
      </c>
      <c r="N30" s="16">
        <f t="shared" si="0"/>
        <v>3035.7069999999999</v>
      </c>
    </row>
    <row r="31" spans="1:14" s="5" customFormat="1" ht="11.25" customHeight="1" x14ac:dyDescent="0.2">
      <c r="A31" s="38" t="s">
        <v>33</v>
      </c>
      <c r="B31" s="15" t="s">
        <v>28</v>
      </c>
      <c r="C31" s="15" t="s">
        <v>28</v>
      </c>
      <c r="D31" s="14">
        <f>239+364</f>
        <v>603</v>
      </c>
      <c r="E31" s="14">
        <f>(196647+374419)/1000</f>
        <v>571.06600000000003</v>
      </c>
      <c r="F31" s="15" t="s">
        <v>28</v>
      </c>
      <c r="G31" s="15" t="s">
        <v>28</v>
      </c>
      <c r="H31" s="15" t="s">
        <v>28</v>
      </c>
      <c r="I31" s="15" t="s">
        <v>28</v>
      </c>
      <c r="J31" s="15" t="s">
        <v>28</v>
      </c>
      <c r="K31" s="15" t="s">
        <v>28</v>
      </c>
      <c r="L31" s="15" t="s">
        <v>28</v>
      </c>
      <c r="M31" s="14">
        <f>(28+3903)/1000</f>
        <v>3.931</v>
      </c>
      <c r="N31" s="16">
        <f t="shared" si="0"/>
        <v>574.99700000000007</v>
      </c>
    </row>
    <row r="32" spans="1:14" s="5" customFormat="1" ht="11.25" customHeight="1" x14ac:dyDescent="0.2">
      <c r="A32" s="38" t="s">
        <v>19</v>
      </c>
      <c r="B32" s="15" t="s">
        <v>28</v>
      </c>
      <c r="C32" s="15" t="s">
        <v>28</v>
      </c>
      <c r="D32" s="15" t="s">
        <v>28</v>
      </c>
      <c r="E32" s="15" t="s">
        <v>28</v>
      </c>
      <c r="F32" s="15" t="s">
        <v>28</v>
      </c>
      <c r="G32" s="15" t="s">
        <v>28</v>
      </c>
      <c r="H32" s="15">
        <f>106+186/1000</f>
        <v>106.18600000000001</v>
      </c>
      <c r="I32" s="15">
        <f>(99264+4155)/1000</f>
        <v>103.419</v>
      </c>
      <c r="J32" s="15" t="s">
        <v>28</v>
      </c>
      <c r="K32" s="15" t="s">
        <v>28</v>
      </c>
      <c r="L32" s="15">
        <f>839546/1000</f>
        <v>839.54600000000005</v>
      </c>
      <c r="M32" s="14">
        <f>(451950+291537)/1000</f>
        <v>743.48699999999997</v>
      </c>
      <c r="N32" s="16">
        <f t="shared" si="0"/>
        <v>1686.452</v>
      </c>
    </row>
    <row r="33" spans="1:14" s="5" customFormat="1" ht="11.25" customHeight="1" x14ac:dyDescent="0.2">
      <c r="A33" s="38" t="s">
        <v>43</v>
      </c>
      <c r="B33" s="15" t="s">
        <v>28</v>
      </c>
      <c r="C33" s="15" t="s">
        <v>28</v>
      </c>
      <c r="D33" s="15">
        <v>13</v>
      </c>
      <c r="E33" s="15">
        <f>6749/1000</f>
        <v>6.7489999999999997</v>
      </c>
      <c r="F33" s="15" t="s">
        <v>28</v>
      </c>
      <c r="G33" s="15" t="s">
        <v>28</v>
      </c>
      <c r="H33" s="15" t="s">
        <v>28</v>
      </c>
      <c r="I33" s="15" t="s">
        <v>28</v>
      </c>
      <c r="J33" s="14">
        <v>45</v>
      </c>
      <c r="K33" s="15">
        <f>64976/1000</f>
        <v>64.975999999999999</v>
      </c>
      <c r="L33" s="15">
        <f>292988/1000</f>
        <v>292.988</v>
      </c>
      <c r="M33" s="14">
        <f>(40566+236799)/1000</f>
        <v>277.36500000000001</v>
      </c>
      <c r="N33" s="16">
        <f t="shared" si="0"/>
        <v>642.07800000000009</v>
      </c>
    </row>
    <row r="34" spans="1:14" s="5" customFormat="1" ht="11.25" customHeight="1" x14ac:dyDescent="0.2">
      <c r="A34" s="38" t="s">
        <v>20</v>
      </c>
      <c r="B34" s="15" t="s">
        <v>28</v>
      </c>
      <c r="C34" s="15" t="s">
        <v>28</v>
      </c>
      <c r="D34" s="15" t="s">
        <v>28</v>
      </c>
      <c r="E34" s="15" t="s">
        <v>28</v>
      </c>
      <c r="F34" s="15" t="s">
        <v>28</v>
      </c>
      <c r="G34" s="15" t="s">
        <v>28</v>
      </c>
      <c r="H34" s="15" t="s">
        <v>28</v>
      </c>
      <c r="I34" s="15" t="s">
        <v>28</v>
      </c>
      <c r="J34" s="15" t="s">
        <v>28</v>
      </c>
      <c r="K34" s="15" t="s">
        <v>28</v>
      </c>
      <c r="L34" s="15">
        <f>1471/1000</f>
        <v>1.4710000000000001</v>
      </c>
      <c r="M34" s="14">
        <f>(2883+10662543)/1000</f>
        <v>10665.425999999999</v>
      </c>
      <c r="N34" s="16">
        <f t="shared" si="0"/>
        <v>10666.896999999999</v>
      </c>
    </row>
    <row r="35" spans="1:14" s="5" customFormat="1" ht="11.25" customHeight="1" x14ac:dyDescent="0.2">
      <c r="A35" s="38" t="s">
        <v>21</v>
      </c>
      <c r="B35" s="15" t="s">
        <v>28</v>
      </c>
      <c r="C35" s="15" t="s">
        <v>28</v>
      </c>
      <c r="D35" s="14">
        <v>50</v>
      </c>
      <c r="E35" s="14">
        <f>146587/1000</f>
        <v>146.58699999999999</v>
      </c>
      <c r="F35" s="15" t="s">
        <v>28</v>
      </c>
      <c r="G35" s="15" t="s">
        <v>28</v>
      </c>
      <c r="H35" s="14">
        <f>147+3797638/1000</f>
        <v>3944.6379999999999</v>
      </c>
      <c r="I35" s="14">
        <f>(122409+16320772)/1000</f>
        <v>16443.181</v>
      </c>
      <c r="J35" s="14">
        <v>590</v>
      </c>
      <c r="K35" s="14">
        <f>348363/1000</f>
        <v>348.363</v>
      </c>
      <c r="L35" s="14">
        <f>640670/1000</f>
        <v>640.66999999999996</v>
      </c>
      <c r="M35" s="14">
        <f>(1350387+879954+7180)/1000</f>
        <v>2237.5210000000002</v>
      </c>
      <c r="N35" s="16">
        <f t="shared" si="0"/>
        <v>19816.322</v>
      </c>
    </row>
    <row r="36" spans="1:14" s="5" customFormat="1" ht="11.25" customHeight="1" x14ac:dyDescent="0.2">
      <c r="A36" s="38" t="s">
        <v>44</v>
      </c>
      <c r="B36" s="15" t="s">
        <v>28</v>
      </c>
      <c r="C36" s="15" t="s">
        <v>28</v>
      </c>
      <c r="D36" s="15" t="s">
        <v>28</v>
      </c>
      <c r="E36" s="15" t="s">
        <v>28</v>
      </c>
      <c r="F36" s="15" t="s">
        <v>28</v>
      </c>
      <c r="G36" s="15" t="s">
        <v>28</v>
      </c>
      <c r="H36" s="15">
        <f>7876/1000</f>
        <v>7.8760000000000003</v>
      </c>
      <c r="I36" s="15">
        <f>11479/1000</f>
        <v>11.478999999999999</v>
      </c>
      <c r="J36" s="15" t="s">
        <v>28</v>
      </c>
      <c r="K36" s="15" t="s">
        <v>28</v>
      </c>
      <c r="L36" s="15" t="s">
        <v>28</v>
      </c>
      <c r="M36" s="14">
        <f>1125410/1000</f>
        <v>1125.4100000000001</v>
      </c>
      <c r="N36" s="16">
        <f t="shared" si="0"/>
        <v>1136.8890000000001</v>
      </c>
    </row>
    <row r="37" spans="1:14" s="5" customFormat="1" ht="11.25" customHeight="1" x14ac:dyDescent="0.2">
      <c r="A37" s="38" t="s">
        <v>30</v>
      </c>
      <c r="B37" s="15">
        <v>816</v>
      </c>
      <c r="C37" s="15">
        <f>367292/1000</f>
        <v>367.29199999999997</v>
      </c>
      <c r="D37" s="14">
        <v>369</v>
      </c>
      <c r="E37" s="14">
        <f>246376/1000</f>
        <v>246.376</v>
      </c>
      <c r="F37" s="15" t="s">
        <v>28</v>
      </c>
      <c r="G37" s="15" t="s">
        <v>28</v>
      </c>
      <c r="H37" s="15" t="s">
        <v>28</v>
      </c>
      <c r="I37" s="15" t="s">
        <v>28</v>
      </c>
      <c r="J37" s="15" t="s">
        <v>28</v>
      </c>
      <c r="K37" s="15" t="s">
        <v>28</v>
      </c>
      <c r="L37" s="15" t="s">
        <v>28</v>
      </c>
      <c r="M37" s="15" t="s">
        <v>28</v>
      </c>
      <c r="N37" s="16">
        <f t="shared" si="0"/>
        <v>613.66800000000001</v>
      </c>
    </row>
    <row r="38" spans="1:14" s="5" customFormat="1" ht="11.25" customHeight="1" x14ac:dyDescent="0.2">
      <c r="A38" s="38" t="s">
        <v>22</v>
      </c>
      <c r="B38" s="15" t="s">
        <v>28</v>
      </c>
      <c r="C38" s="15" t="s">
        <v>28</v>
      </c>
      <c r="D38" s="15">
        <v>1</v>
      </c>
      <c r="E38" s="15" t="s">
        <v>28</v>
      </c>
      <c r="F38" s="15" t="s">
        <v>28</v>
      </c>
      <c r="G38" s="15" t="s">
        <v>28</v>
      </c>
      <c r="H38" s="15">
        <f>12489376/1000</f>
        <v>12489.376</v>
      </c>
      <c r="I38" s="15">
        <f>(12856589)/1000</f>
        <v>12856.589</v>
      </c>
      <c r="J38" s="15">
        <v>2</v>
      </c>
      <c r="K38" s="15">
        <f>5581/1000</f>
        <v>5.5810000000000004</v>
      </c>
      <c r="L38" s="15">
        <f>832240/1000</f>
        <v>832.24</v>
      </c>
      <c r="M38" s="15">
        <f>(344253+13137+171627)/1000</f>
        <v>529.01700000000005</v>
      </c>
      <c r="N38" s="16">
        <f t="shared" si="0"/>
        <v>14223.427</v>
      </c>
    </row>
    <row r="39" spans="1:14" s="5" customFormat="1" ht="11.25" customHeight="1" x14ac:dyDescent="0.2">
      <c r="A39" s="40" t="s">
        <v>23</v>
      </c>
      <c r="B39" s="17" t="s">
        <v>28</v>
      </c>
      <c r="C39" s="17" t="s">
        <v>28</v>
      </c>
      <c r="D39" s="17" t="s">
        <v>28</v>
      </c>
      <c r="E39" s="17" t="s">
        <v>28</v>
      </c>
      <c r="F39" s="17" t="s">
        <v>28</v>
      </c>
      <c r="G39" s="17" t="s">
        <v>28</v>
      </c>
      <c r="H39" s="17">
        <f>864462/1000</f>
        <v>864.46199999999999</v>
      </c>
      <c r="I39" s="17">
        <f>3763356/1000</f>
        <v>3763.3560000000002</v>
      </c>
      <c r="J39" s="17">
        <v>5</v>
      </c>
      <c r="K39" s="17">
        <f>17341/1000</f>
        <v>17.341000000000001</v>
      </c>
      <c r="L39" s="17">
        <f>175583/1000</f>
        <v>175.583</v>
      </c>
      <c r="M39" s="17">
        <f>(665209+22735+208421)/1000</f>
        <v>896.36500000000001</v>
      </c>
      <c r="N39" s="16">
        <f t="shared" si="0"/>
        <v>4852.6450000000004</v>
      </c>
    </row>
    <row r="40" spans="1:14" s="5" customFormat="1" ht="11.25" customHeight="1" x14ac:dyDescent="0.2">
      <c r="A40" s="38" t="s">
        <v>24</v>
      </c>
      <c r="B40" s="15" t="s">
        <v>28</v>
      </c>
      <c r="C40" s="15" t="s">
        <v>28</v>
      </c>
      <c r="D40" s="15">
        <v>2</v>
      </c>
      <c r="E40" s="15">
        <f>3969/1000</f>
        <v>3.9689999999999999</v>
      </c>
      <c r="F40" s="15" t="s">
        <v>28</v>
      </c>
      <c r="G40" s="15" t="s">
        <v>28</v>
      </c>
      <c r="H40" s="14">
        <f>2235+(11340367)/1000</f>
        <v>13575.367</v>
      </c>
      <c r="I40" s="14">
        <f>(1910699+16306746)/1000</f>
        <v>18217.445</v>
      </c>
      <c r="J40" s="15" t="s">
        <v>28</v>
      </c>
      <c r="K40" s="15">
        <f>2568353/1000</f>
        <v>2568.3530000000001</v>
      </c>
      <c r="L40" s="15">
        <f>104548/1000</f>
        <v>104.548</v>
      </c>
      <c r="M40" s="14">
        <f>(2070496+14136+110375)/1000</f>
        <v>2195.0070000000001</v>
      </c>
      <c r="N40" s="16">
        <f t="shared" si="0"/>
        <v>23089.322</v>
      </c>
    </row>
    <row r="41" spans="1:14" s="5" customFormat="1" ht="11.25" customHeight="1" x14ac:dyDescent="0.2">
      <c r="A41" s="38" t="s">
        <v>25</v>
      </c>
      <c r="B41" s="15" t="s">
        <v>28</v>
      </c>
      <c r="C41" s="15" t="s">
        <v>28</v>
      </c>
      <c r="D41" s="15" t="s">
        <v>28</v>
      </c>
      <c r="E41" s="15" t="s">
        <v>28</v>
      </c>
      <c r="F41" s="15" t="s">
        <v>28</v>
      </c>
      <c r="G41" s="15" t="s">
        <v>28</v>
      </c>
      <c r="H41" s="14">
        <f>193779/1000</f>
        <v>193.779</v>
      </c>
      <c r="I41" s="14">
        <f>751829/1000</f>
        <v>751.82899999999995</v>
      </c>
      <c r="J41" s="15">
        <v>2</v>
      </c>
      <c r="K41" s="15">
        <f>11903/1000</f>
        <v>11.903</v>
      </c>
      <c r="L41" s="15">
        <f>146772/1000</f>
        <v>146.77199999999999</v>
      </c>
      <c r="M41" s="14">
        <f>(415394+32955)/1000</f>
        <v>448.34899999999999</v>
      </c>
      <c r="N41" s="16">
        <f t="shared" si="0"/>
        <v>1358.8530000000001</v>
      </c>
    </row>
    <row r="42" spans="1:14" s="5" customFormat="1" ht="11.25" customHeight="1" x14ac:dyDescent="0.2">
      <c r="A42" s="41" t="s">
        <v>31</v>
      </c>
      <c r="B42" s="15" t="s">
        <v>28</v>
      </c>
      <c r="C42" s="15" t="s">
        <v>28</v>
      </c>
      <c r="D42" s="15" t="s">
        <v>28</v>
      </c>
      <c r="E42" s="15" t="s">
        <v>28</v>
      </c>
      <c r="F42" s="15" t="s">
        <v>28</v>
      </c>
      <c r="G42" s="15" t="s">
        <v>28</v>
      </c>
      <c r="H42" s="14">
        <f>(95197)/1000</f>
        <v>95.197000000000003</v>
      </c>
      <c r="I42" s="14">
        <f>(539054)/1000</f>
        <v>539.05399999999997</v>
      </c>
      <c r="J42" s="14">
        <v>8</v>
      </c>
      <c r="K42" s="14">
        <f>30483/1000</f>
        <v>30.483000000000001</v>
      </c>
      <c r="L42" s="14">
        <f>915853/1000</f>
        <v>915.85299999999995</v>
      </c>
      <c r="M42" s="14">
        <f>(2668984+14086+658832)/1000</f>
        <v>3341.902</v>
      </c>
      <c r="N42" s="16">
        <f t="shared" si="0"/>
        <v>4827.2920000000004</v>
      </c>
    </row>
    <row r="43" spans="1:14" s="5" customFormat="1" ht="11.25" customHeight="1" x14ac:dyDescent="0.2">
      <c r="A43" s="38" t="s">
        <v>26</v>
      </c>
      <c r="B43" s="15">
        <v>6</v>
      </c>
      <c r="C43" s="15">
        <f>4917/1000</f>
        <v>4.9169999999999998</v>
      </c>
      <c r="D43" s="15">
        <v>3</v>
      </c>
      <c r="E43" s="15">
        <f>5684/1000</f>
        <v>5.6840000000000002</v>
      </c>
      <c r="F43" s="15" t="s">
        <v>28</v>
      </c>
      <c r="G43" s="15" t="s">
        <v>28</v>
      </c>
      <c r="H43" s="15">
        <f>3974920/1000</f>
        <v>3974.92</v>
      </c>
      <c r="I43" s="15">
        <f>(4407998)/1000</f>
        <v>4407.9979999999996</v>
      </c>
      <c r="J43" s="14">
        <v>403</v>
      </c>
      <c r="K43" s="14">
        <f>410545/1000</f>
        <v>410.54500000000002</v>
      </c>
      <c r="L43" s="14">
        <f>11473252/1000</f>
        <v>11473.252</v>
      </c>
      <c r="M43" s="14">
        <f>(3670725+289+681925)/1000</f>
        <v>4352.9390000000003</v>
      </c>
      <c r="N43" s="16">
        <f t="shared" si="0"/>
        <v>20655.335000000003</v>
      </c>
    </row>
    <row r="44" spans="1:14" s="5" customFormat="1" ht="11.25" customHeight="1" x14ac:dyDescent="0.2">
      <c r="A44" s="38" t="s">
        <v>45</v>
      </c>
      <c r="B44" s="15" t="s">
        <v>28</v>
      </c>
      <c r="C44" s="15" t="s">
        <v>28</v>
      </c>
      <c r="D44" s="21">
        <v>4090</v>
      </c>
      <c r="E44" s="14">
        <f>2782296/1000</f>
        <v>2782.2959999999998</v>
      </c>
      <c r="F44" s="14">
        <f>841-1</f>
        <v>840</v>
      </c>
      <c r="G44" s="14">
        <f>1052166/1000-10.285</f>
        <v>1041.8809999999999</v>
      </c>
      <c r="H44" s="14">
        <f>(998+18381150+1523)/1000</f>
        <v>18383.670999999998</v>
      </c>
      <c r="I44" s="14">
        <f>(2400+30638963+20935)/1000</f>
        <v>30662.297999999999</v>
      </c>
      <c r="J44" s="14">
        <v>2322</v>
      </c>
      <c r="K44" s="14">
        <f>2849643/1000</f>
        <v>2849.643</v>
      </c>
      <c r="L44" s="14">
        <f>1589816/1000</f>
        <v>1589.816</v>
      </c>
      <c r="M44" s="14">
        <f>(16717361+94524+23215+3482109)/1000+10.285</f>
        <v>20327.493999999999</v>
      </c>
      <c r="N44" s="16">
        <f t="shared" si="0"/>
        <v>59253.428</v>
      </c>
    </row>
    <row r="45" spans="1:14" s="5" customFormat="1" ht="11.25" customHeight="1" x14ac:dyDescent="0.2">
      <c r="A45" s="40" t="s">
        <v>46</v>
      </c>
      <c r="B45" s="17" t="s">
        <v>28</v>
      </c>
      <c r="C45" s="17" t="s">
        <v>28</v>
      </c>
      <c r="D45" s="17">
        <v>14</v>
      </c>
      <c r="E45" s="17">
        <f>19129/1000</f>
        <v>19.129000000000001</v>
      </c>
      <c r="F45" s="17" t="s">
        <v>28</v>
      </c>
      <c r="G45" s="17" t="s">
        <v>28</v>
      </c>
      <c r="H45" s="17">
        <v>1</v>
      </c>
      <c r="I45" s="17" t="s">
        <v>28</v>
      </c>
      <c r="J45" s="17">
        <v>1</v>
      </c>
      <c r="K45" s="17">
        <f>4763/1000</f>
        <v>4.7629999999999999</v>
      </c>
      <c r="L45" s="18">
        <f>19109155/1000</f>
        <v>19109.154999999999</v>
      </c>
      <c r="M45" s="18">
        <f>(1223936+603663)/1000</f>
        <v>1827.5989999999999</v>
      </c>
      <c r="N45" s="20">
        <f t="shared" si="0"/>
        <v>20960.645999999997</v>
      </c>
    </row>
    <row r="46" spans="1:14" s="5" customFormat="1" ht="11.25" customHeight="1" x14ac:dyDescent="0.2">
      <c r="A46" s="4" t="s">
        <v>75</v>
      </c>
      <c r="B46" s="14">
        <f>B47-SUM(B6:B45)</f>
        <v>77</v>
      </c>
      <c r="C46" s="14">
        <f>C47-SUM(C6:C45)</f>
        <v>23.518000000000029</v>
      </c>
      <c r="D46" s="14">
        <f>D47-SUM(D6:D45)</f>
        <v>782</v>
      </c>
      <c r="E46" s="14">
        <f>E47-SUM(E6:E45)</f>
        <v>1072.6920000000027</v>
      </c>
      <c r="F46" s="17" t="s">
        <v>28</v>
      </c>
      <c r="G46" s="17" t="s">
        <v>28</v>
      </c>
      <c r="H46" s="14">
        <f t="shared" ref="H46:M46" si="1">H47-SUM(H6:H45)</f>
        <v>889.5810000000638</v>
      </c>
      <c r="I46" s="14">
        <f t="shared" si="1"/>
        <v>1280.9980000000214</v>
      </c>
      <c r="J46" s="14">
        <f t="shared" si="1"/>
        <v>286</v>
      </c>
      <c r="K46" s="14">
        <f t="shared" si="1"/>
        <v>837.75300000001153</v>
      </c>
      <c r="L46" s="14">
        <f t="shared" si="1"/>
        <v>739.80099999991944</v>
      </c>
      <c r="M46" s="14">
        <f t="shared" si="1"/>
        <v>1490.144000000204</v>
      </c>
      <c r="N46" s="16">
        <f t="shared" si="0"/>
        <v>5444.9060000001591</v>
      </c>
    </row>
    <row r="47" spans="1:14" s="5" customFormat="1" ht="11.25" customHeight="1" x14ac:dyDescent="0.2">
      <c r="A47" s="84" t="s">
        <v>27</v>
      </c>
      <c r="B47" s="22">
        <v>3274</v>
      </c>
      <c r="C47" s="22">
        <f>1931523/1000</f>
        <v>1931.5229999999999</v>
      </c>
      <c r="D47" s="22">
        <f>22431+20682</f>
        <v>43113</v>
      </c>
      <c r="E47" s="22">
        <f>(22005650+24913679)/1000</f>
        <v>46919.328999999998</v>
      </c>
      <c r="F47" s="22">
        <f>4165+84-218-1</f>
        <v>4030</v>
      </c>
      <c r="G47" s="22">
        <f>(4336999+83416)/1000-719.249</f>
        <v>3701.1660000000002</v>
      </c>
      <c r="H47" s="22">
        <f>757+6025+1865+(39118+441894038)/1000</f>
        <v>450580.15600000002</v>
      </c>
      <c r="I47" s="22">
        <f>(7912963+623738459)/1000</f>
        <v>631651.42200000002</v>
      </c>
      <c r="J47" s="22">
        <f>9643+13964+993+1085</f>
        <v>25685</v>
      </c>
      <c r="K47" s="22">
        <f>(5611809+21288945+3147543+691140)/1000</f>
        <v>30739.437000000002</v>
      </c>
      <c r="L47" s="22">
        <f>172807325/1000</f>
        <v>172807.32500000001</v>
      </c>
      <c r="M47" s="22">
        <f>(302532313+28359+18892819+71654615)/1000+719.249</f>
        <v>393827.35500000004</v>
      </c>
      <c r="N47" s="22">
        <f>C47+E47+G47+I47+K47+L47+M47</f>
        <v>1281577.557</v>
      </c>
    </row>
    <row r="48" spans="1:14" s="5" customFormat="1" ht="11.25" customHeight="1" x14ac:dyDescent="0.2">
      <c r="A48" s="24"/>
      <c r="B48" s="16"/>
      <c r="C48" s="16"/>
      <c r="D48" s="16"/>
      <c r="E48" s="16"/>
      <c r="F48" s="16"/>
      <c r="G48" s="16"/>
      <c r="H48" s="16"/>
      <c r="I48" s="16"/>
      <c r="J48" s="16"/>
      <c r="K48" s="16"/>
      <c r="L48" s="16"/>
      <c r="M48" s="16"/>
      <c r="N48" s="16"/>
    </row>
    <row r="49" spans="1:1" s="5" customFormat="1" ht="12.75" customHeight="1" x14ac:dyDescent="0.2">
      <c r="A49" s="79" t="s">
        <v>48</v>
      </c>
    </row>
    <row r="50" spans="1:1" s="5" customFormat="1" ht="12.75" customHeight="1" x14ac:dyDescent="0.2">
      <c r="A50" s="80" t="s">
        <v>49</v>
      </c>
    </row>
    <row r="51" spans="1:1" s="5" customFormat="1" ht="12.75" customHeight="1" x14ac:dyDescent="0.2">
      <c r="A51" s="80"/>
    </row>
    <row r="52" spans="1:1" s="5" customFormat="1" ht="12.75" customHeight="1" x14ac:dyDescent="0.2">
      <c r="A52" s="3" t="s">
        <v>37</v>
      </c>
    </row>
    <row r="53" spans="1:1" s="5" customFormat="1" ht="12.75" customHeight="1" x14ac:dyDescent="0.2">
      <c r="A53" s="4" t="s">
        <v>54</v>
      </c>
    </row>
    <row r="54" spans="1:1" s="5" customFormat="1" ht="12.75" customHeight="1" x14ac:dyDescent="0.2">
      <c r="A54" s="4" t="s">
        <v>55</v>
      </c>
    </row>
    <row r="55" spans="1:1" s="5" customFormat="1" ht="12.75" customHeight="1" x14ac:dyDescent="0.2">
      <c r="A55" s="4" t="s">
        <v>56</v>
      </c>
    </row>
    <row r="56" spans="1:1" s="5" customFormat="1" ht="12.75" customHeight="1" x14ac:dyDescent="0.2">
      <c r="A56" s="4" t="s">
        <v>67</v>
      </c>
    </row>
    <row r="57" spans="1:1" s="5" customFormat="1" ht="12.75" customHeight="1" x14ac:dyDescent="0.2">
      <c r="A57" s="4" t="s">
        <v>68</v>
      </c>
    </row>
    <row r="58" spans="1:1" s="5" customFormat="1" ht="12.75" customHeight="1" x14ac:dyDescent="0.2">
      <c r="A58" s="4" t="s">
        <v>72</v>
      </c>
    </row>
    <row r="59" spans="1:1" s="5" customFormat="1" ht="12.75" customHeight="1" x14ac:dyDescent="0.2">
      <c r="A59" s="4" t="s">
        <v>73</v>
      </c>
    </row>
    <row r="60" spans="1:1" s="5" customFormat="1" ht="12.75" customHeight="1" x14ac:dyDescent="0.2">
      <c r="A60" s="4" t="s">
        <v>74</v>
      </c>
    </row>
    <row r="61" spans="1:1" ht="12.75" customHeight="1" x14ac:dyDescent="0.2"/>
    <row r="62" spans="1:1" ht="12.75" customHeight="1" x14ac:dyDescent="0.2">
      <c r="A62" s="3" t="s">
        <v>50</v>
      </c>
    </row>
    <row r="63" spans="1:1" ht="12.75" customHeight="1" x14ac:dyDescent="0.2">
      <c r="A63" s="81" t="s">
        <v>51</v>
      </c>
    </row>
    <row r="64" spans="1:1" ht="11.25" customHeight="1" x14ac:dyDescent="0.2"/>
    <row r="65" ht="11.25" customHeight="1" x14ac:dyDescent="0.2"/>
    <row r="66" ht="11.25" customHeight="1" x14ac:dyDescent="0.2"/>
    <row r="67" ht="11.25" customHeight="1" x14ac:dyDescent="0.2"/>
    <row r="68" ht="11.25" customHeight="1" x14ac:dyDescent="0.2"/>
    <row r="69" ht="11.25" customHeight="1" x14ac:dyDescent="0.2"/>
  </sheetData>
  <mergeCells count="6">
    <mergeCell ref="H3:I3"/>
    <mergeCell ref="J3:K3"/>
    <mergeCell ref="A3:A5"/>
    <mergeCell ref="B3:C3"/>
    <mergeCell ref="D3:E3"/>
    <mergeCell ref="F3:G3"/>
  </mergeCells>
  <phoneticPr fontId="2" type="noConversion"/>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70"/>
  <sheetViews>
    <sheetView workbookViewId="0"/>
  </sheetViews>
  <sheetFormatPr defaultRowHeight="12.75" x14ac:dyDescent="0.2"/>
  <cols>
    <col min="1" max="1" width="20" style="82" customWidth="1"/>
    <col min="2" max="11" width="8.7109375" style="1" customWidth="1"/>
    <col min="12" max="12" width="12.28515625" style="1" customWidth="1"/>
    <col min="13" max="14" width="11.7109375" style="1" customWidth="1"/>
    <col min="15" max="16384" width="9.140625" style="1"/>
  </cols>
  <sheetData>
    <row r="1" spans="1:18" s="2" customFormat="1" ht="17.25" customHeight="1" x14ac:dyDescent="0.25">
      <c r="A1" s="76" t="s">
        <v>78</v>
      </c>
    </row>
    <row r="2" spans="1:18" s="2" customFormat="1" ht="11.25" customHeight="1" x14ac:dyDescent="0.25">
      <c r="A2" s="76"/>
    </row>
    <row r="3" spans="1:18" s="77" customFormat="1" ht="25.5" customHeight="1" x14ac:dyDescent="0.2">
      <c r="A3" s="175" t="s">
        <v>38</v>
      </c>
      <c r="B3" s="170" t="s">
        <v>36</v>
      </c>
      <c r="C3" s="170"/>
      <c r="D3" s="173" t="s">
        <v>65</v>
      </c>
      <c r="E3" s="173"/>
      <c r="F3" s="170" t="s">
        <v>35</v>
      </c>
      <c r="G3" s="170"/>
      <c r="H3" s="173" t="s">
        <v>66</v>
      </c>
      <c r="I3" s="173"/>
      <c r="J3" s="170" t="s">
        <v>70</v>
      </c>
      <c r="K3" s="170"/>
      <c r="L3" s="90" t="s">
        <v>53</v>
      </c>
      <c r="M3" s="90" t="s">
        <v>71</v>
      </c>
      <c r="N3" s="90" t="s">
        <v>34</v>
      </c>
    </row>
    <row r="4" spans="1:18" s="77" customFormat="1" ht="10.5" x14ac:dyDescent="0.2">
      <c r="A4" s="175"/>
      <c r="B4" s="89" t="s">
        <v>59</v>
      </c>
      <c r="C4" s="89" t="s">
        <v>57</v>
      </c>
      <c r="D4" s="90" t="s">
        <v>69</v>
      </c>
      <c r="E4" s="90" t="s">
        <v>57</v>
      </c>
      <c r="F4" s="89" t="s">
        <v>58</v>
      </c>
      <c r="G4" s="89" t="s">
        <v>57</v>
      </c>
      <c r="H4" s="90" t="s">
        <v>58</v>
      </c>
      <c r="I4" s="90" t="s">
        <v>57</v>
      </c>
      <c r="J4" s="89" t="s">
        <v>58</v>
      </c>
      <c r="K4" s="89" t="s">
        <v>57</v>
      </c>
      <c r="L4" s="90" t="s">
        <v>57</v>
      </c>
      <c r="M4" s="90" t="s">
        <v>57</v>
      </c>
      <c r="N4" s="90" t="s">
        <v>57</v>
      </c>
    </row>
    <row r="5" spans="1:18" s="31" customFormat="1" ht="12.75" customHeight="1" x14ac:dyDescent="0.2">
      <c r="A5" s="176"/>
      <c r="B5" s="88" t="s">
        <v>60</v>
      </c>
      <c r="C5" s="88" t="s">
        <v>61</v>
      </c>
      <c r="D5" s="88" t="s">
        <v>62</v>
      </c>
      <c r="E5" s="88" t="s">
        <v>61</v>
      </c>
      <c r="F5" s="88" t="s">
        <v>63</v>
      </c>
      <c r="G5" s="88" t="s">
        <v>61</v>
      </c>
      <c r="H5" s="88" t="s">
        <v>63</v>
      </c>
      <c r="I5" s="88" t="s">
        <v>61</v>
      </c>
      <c r="J5" s="88" t="s">
        <v>64</v>
      </c>
      <c r="K5" s="88" t="s">
        <v>61</v>
      </c>
      <c r="L5" s="88" t="s">
        <v>61</v>
      </c>
      <c r="M5" s="88" t="s">
        <v>61</v>
      </c>
      <c r="N5" s="88" t="s">
        <v>61</v>
      </c>
    </row>
    <row r="6" spans="1:18" s="5" customFormat="1" ht="11.25" customHeight="1" x14ac:dyDescent="0.2">
      <c r="A6" s="4" t="s">
        <v>39</v>
      </c>
      <c r="B6" s="15" t="s">
        <v>28</v>
      </c>
      <c r="C6" s="15" t="s">
        <v>28</v>
      </c>
      <c r="D6" s="15" t="s">
        <v>28</v>
      </c>
      <c r="E6" s="15" t="s">
        <v>28</v>
      </c>
      <c r="F6" s="15" t="s">
        <v>28</v>
      </c>
      <c r="G6" s="15" t="s">
        <v>28</v>
      </c>
      <c r="H6" s="15" t="s">
        <v>28</v>
      </c>
      <c r="I6" s="15" t="s">
        <v>28</v>
      </c>
      <c r="J6" s="15" t="s">
        <v>28</v>
      </c>
      <c r="K6" s="15" t="s">
        <v>28</v>
      </c>
      <c r="L6" s="14">
        <v>104.67400000000001</v>
      </c>
      <c r="M6" s="14">
        <v>482.178</v>
      </c>
      <c r="N6" s="16">
        <v>586.85199999999998</v>
      </c>
      <c r="O6" s="4"/>
      <c r="P6" s="4"/>
      <c r="Q6" s="4"/>
      <c r="R6" s="14"/>
    </row>
    <row r="7" spans="1:18" s="5" customFormat="1" ht="11.25" customHeight="1" x14ac:dyDescent="0.2">
      <c r="A7" s="38" t="s">
        <v>0</v>
      </c>
      <c r="B7" s="14">
        <v>3075</v>
      </c>
      <c r="C7" s="14">
        <v>1680.758</v>
      </c>
      <c r="D7" s="14">
        <v>7455</v>
      </c>
      <c r="E7" s="14">
        <v>6927.5789999999997</v>
      </c>
      <c r="F7" s="15">
        <v>1017</v>
      </c>
      <c r="G7" s="15">
        <v>1441.3689999999999</v>
      </c>
      <c r="H7" s="14">
        <v>219275.82500000001</v>
      </c>
      <c r="I7" s="14">
        <v>284193.68900000001</v>
      </c>
      <c r="J7" s="14">
        <v>7571</v>
      </c>
      <c r="K7" s="14">
        <v>9982.7810000000009</v>
      </c>
      <c r="L7" s="14">
        <v>18614.031999999999</v>
      </c>
      <c r="M7" s="14">
        <v>154390.45199999999</v>
      </c>
      <c r="N7" s="16">
        <v>477231.66</v>
      </c>
      <c r="O7" s="36"/>
      <c r="P7" s="37"/>
      <c r="Q7" s="38"/>
      <c r="R7" s="14"/>
    </row>
    <row r="8" spans="1:18" s="5" customFormat="1" ht="11.25" customHeight="1" x14ac:dyDescent="0.2">
      <c r="A8" s="38" t="s">
        <v>1</v>
      </c>
      <c r="B8" s="15" t="s">
        <v>28</v>
      </c>
      <c r="C8" s="15"/>
      <c r="D8" s="15">
        <v>43</v>
      </c>
      <c r="E8" s="15">
        <v>25.728999999999999</v>
      </c>
      <c r="F8" s="15" t="s">
        <v>28</v>
      </c>
      <c r="G8" s="15" t="s">
        <v>28</v>
      </c>
      <c r="H8" s="14">
        <v>1684.2339999999999</v>
      </c>
      <c r="I8" s="14">
        <v>3826.027</v>
      </c>
      <c r="J8" s="15" t="s">
        <v>28</v>
      </c>
      <c r="K8" s="15">
        <v>56.604999999999997</v>
      </c>
      <c r="L8" s="14">
        <v>86.587999999999994</v>
      </c>
      <c r="M8" s="14">
        <v>66.733999999999995</v>
      </c>
      <c r="N8" s="16">
        <v>4062.683</v>
      </c>
      <c r="P8" s="37"/>
      <c r="Q8" s="38"/>
      <c r="R8" s="15"/>
    </row>
    <row r="9" spans="1:18" s="5" customFormat="1" ht="11.25" customHeight="1" x14ac:dyDescent="0.2">
      <c r="A9" s="38" t="s">
        <v>2</v>
      </c>
      <c r="B9" s="15" t="s">
        <v>28</v>
      </c>
      <c r="C9" s="15" t="s">
        <v>28</v>
      </c>
      <c r="D9" s="15" t="s">
        <v>28</v>
      </c>
      <c r="E9" s="15" t="s">
        <v>28</v>
      </c>
      <c r="F9" s="15" t="s">
        <v>28</v>
      </c>
      <c r="G9" s="15" t="s">
        <v>28</v>
      </c>
      <c r="H9" s="14">
        <v>15491.208000000001</v>
      </c>
      <c r="I9" s="14">
        <v>26492.344000000001</v>
      </c>
      <c r="J9" s="15">
        <v>52</v>
      </c>
      <c r="K9" s="15">
        <v>158.54499999999999</v>
      </c>
      <c r="L9" s="15">
        <v>437.447</v>
      </c>
      <c r="M9" s="14">
        <v>2853.0770000000002</v>
      </c>
      <c r="N9" s="16">
        <v>29941.413</v>
      </c>
      <c r="O9" s="4"/>
      <c r="P9" s="37"/>
      <c r="Q9" s="38"/>
      <c r="R9" s="15"/>
    </row>
    <row r="10" spans="1:18" s="5" customFormat="1" ht="11.25" customHeight="1" x14ac:dyDescent="0.2">
      <c r="A10" s="38" t="s">
        <v>3</v>
      </c>
      <c r="B10" s="15">
        <v>23</v>
      </c>
      <c r="C10" s="15">
        <v>25.332999999999998</v>
      </c>
      <c r="D10" s="15">
        <v>1009</v>
      </c>
      <c r="E10" s="15">
        <v>1315.57</v>
      </c>
      <c r="F10" s="15" t="s">
        <v>28</v>
      </c>
      <c r="G10" s="15" t="s">
        <v>28</v>
      </c>
      <c r="H10" s="15">
        <v>701.178</v>
      </c>
      <c r="I10" s="15">
        <v>1169.08</v>
      </c>
      <c r="J10" s="14">
        <v>1</v>
      </c>
      <c r="K10" s="14">
        <v>3.17</v>
      </c>
      <c r="L10" s="14">
        <v>239.13900000000001</v>
      </c>
      <c r="M10" s="14">
        <v>463.87400000000002</v>
      </c>
      <c r="N10" s="16">
        <v>3216.1659999999997</v>
      </c>
      <c r="O10" s="4"/>
      <c r="P10" s="37"/>
      <c r="Q10" s="38"/>
      <c r="R10" s="15"/>
    </row>
    <row r="11" spans="1:18" s="30" customFormat="1" ht="11.25" customHeight="1" x14ac:dyDescent="0.2">
      <c r="A11" s="40" t="s">
        <v>29</v>
      </c>
      <c r="B11" s="17" t="s">
        <v>28</v>
      </c>
      <c r="C11" s="17" t="s">
        <v>28</v>
      </c>
      <c r="D11" s="18">
        <v>13</v>
      </c>
      <c r="E11" s="18">
        <v>36.365000000000002</v>
      </c>
      <c r="F11" s="17" t="s">
        <v>28</v>
      </c>
      <c r="G11" s="17" t="s">
        <v>28</v>
      </c>
      <c r="H11" s="18">
        <v>2638.9229999999998</v>
      </c>
      <c r="I11" s="18">
        <v>10671.95</v>
      </c>
      <c r="J11" s="18">
        <v>28</v>
      </c>
      <c r="K11" s="18">
        <v>69.891000000000005</v>
      </c>
      <c r="L11" s="18">
        <v>806.81</v>
      </c>
      <c r="M11" s="18">
        <v>6445.34</v>
      </c>
      <c r="N11" s="16">
        <v>18030.356000000003</v>
      </c>
      <c r="O11" s="39"/>
      <c r="P11" s="39"/>
      <c r="Q11" s="40"/>
      <c r="R11" s="17"/>
    </row>
    <row r="12" spans="1:18" s="5" customFormat="1" ht="11.25" customHeight="1" x14ac:dyDescent="0.2">
      <c r="A12" s="38" t="s">
        <v>4</v>
      </c>
      <c r="B12" s="17">
        <v>25</v>
      </c>
      <c r="C12" s="17">
        <v>10.211</v>
      </c>
      <c r="D12" s="14">
        <v>15280</v>
      </c>
      <c r="E12" s="14">
        <v>22438.252</v>
      </c>
      <c r="F12" s="15">
        <v>1527</v>
      </c>
      <c r="G12" s="15">
        <v>1158.0039999999999</v>
      </c>
      <c r="H12" s="14">
        <v>571.98599999999999</v>
      </c>
      <c r="I12" s="14">
        <v>1244.123</v>
      </c>
      <c r="J12" s="14">
        <v>362</v>
      </c>
      <c r="K12" s="14">
        <v>836.37400000000002</v>
      </c>
      <c r="L12" s="14">
        <v>325.23</v>
      </c>
      <c r="M12" s="14">
        <v>2914.9569999999999</v>
      </c>
      <c r="N12" s="16">
        <v>28926.150999999998</v>
      </c>
      <c r="O12" s="4"/>
      <c r="P12" s="37"/>
      <c r="Q12" s="38"/>
      <c r="R12" s="15"/>
    </row>
    <row r="13" spans="1:18" s="5" customFormat="1" ht="11.25" customHeight="1" x14ac:dyDescent="0.2">
      <c r="A13" s="38" t="s">
        <v>32</v>
      </c>
      <c r="B13" s="15">
        <v>37</v>
      </c>
      <c r="C13" s="15">
        <v>12.366</v>
      </c>
      <c r="D13" s="14">
        <v>58</v>
      </c>
      <c r="E13" s="14">
        <v>23.321999999999999</v>
      </c>
      <c r="F13" s="15">
        <v>996</v>
      </c>
      <c r="G13" s="15">
        <v>914.928</v>
      </c>
      <c r="H13" s="14">
        <v>36.340000000000003</v>
      </c>
      <c r="I13" s="14">
        <v>61.594000000000001</v>
      </c>
      <c r="J13" s="14">
        <v>942</v>
      </c>
      <c r="K13" s="14">
        <v>581.84199999999998</v>
      </c>
      <c r="L13" s="14">
        <v>54.094999999999999</v>
      </c>
      <c r="M13" s="14">
        <v>77.988</v>
      </c>
      <c r="N13" s="16">
        <v>1726.135</v>
      </c>
      <c r="O13" s="4"/>
      <c r="P13" s="4"/>
      <c r="Q13" s="38"/>
      <c r="R13" s="15"/>
    </row>
    <row r="14" spans="1:18" s="30" customFormat="1" ht="11.25" customHeight="1" x14ac:dyDescent="0.2">
      <c r="A14" s="40" t="s">
        <v>40</v>
      </c>
      <c r="B14" s="17" t="s">
        <v>28</v>
      </c>
      <c r="C14" s="17" t="s">
        <v>28</v>
      </c>
      <c r="D14" s="18">
        <v>151</v>
      </c>
      <c r="E14" s="18">
        <v>300.637</v>
      </c>
      <c r="F14" s="17" t="s">
        <v>28</v>
      </c>
      <c r="G14" s="17" t="s">
        <v>28</v>
      </c>
      <c r="H14" s="18">
        <v>12518.907999999999</v>
      </c>
      <c r="I14" s="18">
        <v>21103.862000000001</v>
      </c>
      <c r="J14" s="15">
        <v>654</v>
      </c>
      <c r="K14" s="18">
        <v>688.178</v>
      </c>
      <c r="L14" s="18">
        <v>27493.787</v>
      </c>
      <c r="M14" s="18">
        <v>21492.808000000001</v>
      </c>
      <c r="N14" s="16">
        <v>71080.272000000012</v>
      </c>
      <c r="O14" s="39"/>
      <c r="P14" s="39"/>
      <c r="Q14" s="40"/>
      <c r="R14" s="17"/>
    </row>
    <row r="15" spans="1:18" s="30" customFormat="1" ht="11.25" customHeight="1" x14ac:dyDescent="0.2">
      <c r="A15" s="40" t="s">
        <v>5</v>
      </c>
      <c r="B15" s="17" t="s">
        <v>28</v>
      </c>
      <c r="C15" s="17" t="s">
        <v>28</v>
      </c>
      <c r="D15" s="17">
        <v>5</v>
      </c>
      <c r="E15" s="17">
        <v>14.592000000000001</v>
      </c>
      <c r="F15" s="17" t="s">
        <v>28</v>
      </c>
      <c r="G15" s="17" t="s">
        <v>28</v>
      </c>
      <c r="H15" s="18">
        <v>150.11500000000001</v>
      </c>
      <c r="I15" s="18">
        <v>551.59900000000005</v>
      </c>
      <c r="J15" s="15" t="s">
        <v>28</v>
      </c>
      <c r="K15" s="15" t="s">
        <v>28</v>
      </c>
      <c r="L15" s="18">
        <v>2170.4079999999999</v>
      </c>
      <c r="M15" s="18">
        <v>7272.84</v>
      </c>
      <c r="N15" s="16">
        <v>10010.439</v>
      </c>
      <c r="O15" s="39"/>
      <c r="P15" s="39"/>
      <c r="Q15" s="40"/>
      <c r="R15" s="17"/>
    </row>
    <row r="16" spans="1:18" s="5" customFormat="1" ht="11.25" customHeight="1" x14ac:dyDescent="0.2">
      <c r="A16" s="38" t="s">
        <v>6</v>
      </c>
      <c r="B16" s="15">
        <v>83</v>
      </c>
      <c r="C16" s="15">
        <v>85.662000000000006</v>
      </c>
      <c r="D16" s="14">
        <v>3159</v>
      </c>
      <c r="E16" s="14">
        <v>3343.4870000000001</v>
      </c>
      <c r="F16" s="15" t="s">
        <v>28</v>
      </c>
      <c r="G16" s="15" t="s">
        <v>28</v>
      </c>
      <c r="H16" s="15" t="s">
        <v>28</v>
      </c>
      <c r="I16" s="15">
        <v>2.1389999999999998</v>
      </c>
      <c r="J16" s="14">
        <v>1104</v>
      </c>
      <c r="K16" s="14">
        <v>1437.2940000000001</v>
      </c>
      <c r="L16" s="19">
        <v>479.88499999999999</v>
      </c>
      <c r="M16" s="14">
        <v>732.33399999999995</v>
      </c>
      <c r="N16" s="16">
        <v>6079.8010000000004</v>
      </c>
      <c r="O16" s="4"/>
      <c r="P16" s="37"/>
      <c r="Q16" s="38"/>
      <c r="R16" s="15"/>
    </row>
    <row r="17" spans="1:18" s="5" customFormat="1" ht="11.25" customHeight="1" x14ac:dyDescent="0.2">
      <c r="A17" s="38" t="s">
        <v>7</v>
      </c>
      <c r="B17" s="15" t="s">
        <v>28</v>
      </c>
      <c r="C17" s="15" t="s">
        <v>28</v>
      </c>
      <c r="D17" s="15">
        <v>34</v>
      </c>
      <c r="E17" s="15">
        <v>70.195999999999998</v>
      </c>
      <c r="F17" s="15" t="s">
        <v>28</v>
      </c>
      <c r="G17" s="15" t="s">
        <v>28</v>
      </c>
      <c r="H17" s="14">
        <v>26366.085999999999</v>
      </c>
      <c r="I17" s="14">
        <v>41478.298999999999</v>
      </c>
      <c r="J17" s="15">
        <v>15</v>
      </c>
      <c r="K17" s="19">
        <v>167.124</v>
      </c>
      <c r="L17" s="19">
        <v>59.63</v>
      </c>
      <c r="M17" s="14">
        <v>922.48400000000004</v>
      </c>
      <c r="N17" s="16">
        <v>42696.733</v>
      </c>
      <c r="O17" s="4"/>
      <c r="P17" s="37"/>
      <c r="Q17" s="38"/>
      <c r="R17" s="15"/>
    </row>
    <row r="18" spans="1:18" s="5" customFormat="1" ht="11.25" customHeight="1" x14ac:dyDescent="0.2">
      <c r="A18" s="38" t="s">
        <v>8</v>
      </c>
      <c r="B18" s="15" t="s">
        <v>28</v>
      </c>
      <c r="C18" s="15" t="s">
        <v>28</v>
      </c>
      <c r="D18" s="15">
        <v>246</v>
      </c>
      <c r="E18" s="15">
        <v>353.95600000000002</v>
      </c>
      <c r="F18" s="15" t="s">
        <v>28</v>
      </c>
      <c r="G18" s="15" t="s">
        <v>28</v>
      </c>
      <c r="H18" s="14">
        <v>2077.5430000000001</v>
      </c>
      <c r="I18" s="14">
        <v>6182.4740000000002</v>
      </c>
      <c r="J18" s="15">
        <v>104</v>
      </c>
      <c r="K18" s="19">
        <v>207.50299999999999</v>
      </c>
      <c r="L18" s="19">
        <v>1405.4190000000001</v>
      </c>
      <c r="M18" s="14">
        <v>26392.541000000001</v>
      </c>
      <c r="N18" s="20">
        <v>34541.893000000004</v>
      </c>
      <c r="O18" s="4"/>
      <c r="P18" s="37"/>
      <c r="Q18" s="38"/>
      <c r="R18" s="15"/>
    </row>
    <row r="19" spans="1:18" s="5" customFormat="1" ht="11.25" customHeight="1" x14ac:dyDescent="0.2">
      <c r="A19" s="41" t="s">
        <v>9</v>
      </c>
      <c r="B19" s="15" t="s">
        <v>28</v>
      </c>
      <c r="C19" s="15" t="s">
        <v>28</v>
      </c>
      <c r="D19" s="15">
        <v>52</v>
      </c>
      <c r="E19" s="15">
        <v>80.156000000000006</v>
      </c>
      <c r="F19" s="15">
        <v>29</v>
      </c>
      <c r="G19" s="15">
        <v>88.78</v>
      </c>
      <c r="H19" s="14">
        <v>12611.556</v>
      </c>
      <c r="I19" s="14">
        <v>27707.453000000001</v>
      </c>
      <c r="J19" s="14">
        <v>114</v>
      </c>
      <c r="K19" s="14">
        <v>718.76900000000001</v>
      </c>
      <c r="L19" s="14">
        <v>1276.857</v>
      </c>
      <c r="M19" s="14">
        <v>18524.274000000001</v>
      </c>
      <c r="N19" s="16">
        <v>48396.289000000004</v>
      </c>
      <c r="O19" s="4"/>
      <c r="P19" s="37"/>
      <c r="Q19" s="41"/>
      <c r="R19" s="15"/>
    </row>
    <row r="20" spans="1:18" s="5" customFormat="1" ht="11.25" customHeight="1" x14ac:dyDescent="0.2">
      <c r="A20" s="38" t="s">
        <v>41</v>
      </c>
      <c r="B20" s="15" t="s">
        <v>28</v>
      </c>
      <c r="C20" s="15" t="s">
        <v>28</v>
      </c>
      <c r="D20" s="15">
        <v>64</v>
      </c>
      <c r="E20" s="15">
        <v>24.931000000000001</v>
      </c>
      <c r="F20" s="15" t="s">
        <v>28</v>
      </c>
      <c r="G20" s="15" t="s">
        <v>28</v>
      </c>
      <c r="H20" s="14">
        <v>127.56399999999999</v>
      </c>
      <c r="I20" s="14">
        <v>1443.8389999999999</v>
      </c>
      <c r="J20" s="17" t="s">
        <v>28</v>
      </c>
      <c r="K20" s="17" t="s">
        <v>28</v>
      </c>
      <c r="L20" s="15">
        <v>339.03899999999999</v>
      </c>
      <c r="M20" s="14">
        <v>1999.2850000000001</v>
      </c>
      <c r="N20" s="16">
        <v>3807.0940000000001</v>
      </c>
      <c r="O20" s="4"/>
      <c r="P20" s="37"/>
      <c r="Q20" s="38"/>
      <c r="R20" s="15"/>
    </row>
    <row r="21" spans="1:18" s="30" customFormat="1" ht="11.25" customHeight="1" x14ac:dyDescent="0.2">
      <c r="A21" s="40" t="s">
        <v>10</v>
      </c>
      <c r="B21" s="17" t="s">
        <v>28</v>
      </c>
      <c r="C21" s="17" t="s">
        <v>28</v>
      </c>
      <c r="D21" s="17" t="s">
        <v>28</v>
      </c>
      <c r="E21" s="17" t="s">
        <v>28</v>
      </c>
      <c r="F21" s="17" t="s">
        <v>28</v>
      </c>
      <c r="G21" s="17" t="s">
        <v>28</v>
      </c>
      <c r="H21" s="18">
        <v>179.54</v>
      </c>
      <c r="I21" s="18">
        <v>334.77100000000002</v>
      </c>
      <c r="J21" s="17" t="s">
        <v>28</v>
      </c>
      <c r="K21" s="17" t="s">
        <v>28</v>
      </c>
      <c r="L21" s="17">
        <v>442.40499999999997</v>
      </c>
      <c r="M21" s="18">
        <v>956.16200000000003</v>
      </c>
      <c r="N21" s="16">
        <v>1733.338</v>
      </c>
      <c r="O21" s="39"/>
      <c r="P21" s="39"/>
      <c r="Q21" s="40"/>
      <c r="R21" s="17"/>
    </row>
    <row r="22" spans="1:18" s="5" customFormat="1" ht="11.25" customHeight="1" x14ac:dyDescent="0.2">
      <c r="A22" s="38" t="s">
        <v>11</v>
      </c>
      <c r="B22" s="15">
        <v>2</v>
      </c>
      <c r="C22" s="15">
        <v>1.3320000000000001</v>
      </c>
      <c r="D22" s="14">
        <v>1865</v>
      </c>
      <c r="E22" s="14">
        <v>2161.047</v>
      </c>
      <c r="F22" s="17" t="s">
        <v>28</v>
      </c>
      <c r="G22" s="17" t="s">
        <v>28</v>
      </c>
      <c r="H22" s="14">
        <v>37185.233</v>
      </c>
      <c r="I22" s="14">
        <v>59871.303</v>
      </c>
      <c r="J22" s="14">
        <v>765</v>
      </c>
      <c r="K22" s="14">
        <v>1157.0319999999999</v>
      </c>
      <c r="L22" s="14">
        <v>10783.253000000001</v>
      </c>
      <c r="M22" s="14">
        <v>19521.652999999998</v>
      </c>
      <c r="N22" s="16">
        <v>93494.62</v>
      </c>
      <c r="O22" s="4"/>
      <c r="P22" s="37"/>
      <c r="Q22" s="38"/>
      <c r="R22" s="15"/>
    </row>
    <row r="23" spans="1:18" s="5" customFormat="1" ht="11.25" customHeight="1" x14ac:dyDescent="0.2">
      <c r="A23" s="38" t="s">
        <v>12</v>
      </c>
      <c r="B23" s="15" t="s">
        <v>28</v>
      </c>
      <c r="C23" s="15" t="s">
        <v>28</v>
      </c>
      <c r="D23" s="15">
        <v>271</v>
      </c>
      <c r="E23" s="15">
        <v>573.86</v>
      </c>
      <c r="F23" s="15">
        <v>5</v>
      </c>
      <c r="G23" s="15">
        <v>13.196</v>
      </c>
      <c r="H23" s="14">
        <v>9102.2639999999992</v>
      </c>
      <c r="I23" s="14">
        <v>15503.286</v>
      </c>
      <c r="J23" s="15">
        <v>50</v>
      </c>
      <c r="K23" s="15">
        <v>172.71899999999999</v>
      </c>
      <c r="L23" s="15">
        <v>15486.546</v>
      </c>
      <c r="M23" s="14">
        <v>5280.42</v>
      </c>
      <c r="N23" s="16">
        <v>37030.027000000009</v>
      </c>
      <c r="O23" s="4"/>
      <c r="P23" s="37"/>
      <c r="Q23" s="38"/>
      <c r="R23" s="15"/>
    </row>
    <row r="24" spans="1:18" s="5" customFormat="1" ht="11.25" customHeight="1" x14ac:dyDescent="0.2">
      <c r="A24" s="38" t="s">
        <v>13</v>
      </c>
      <c r="B24" s="15" t="s">
        <v>28</v>
      </c>
      <c r="C24" s="15" t="s">
        <v>28</v>
      </c>
      <c r="D24" s="15" t="s">
        <v>28</v>
      </c>
      <c r="E24" s="15" t="s">
        <v>28</v>
      </c>
      <c r="F24" s="17" t="s">
        <v>28</v>
      </c>
      <c r="G24" s="17" t="s">
        <v>28</v>
      </c>
      <c r="H24" s="14">
        <v>12968.955</v>
      </c>
      <c r="I24" s="14">
        <v>26947.808000000001</v>
      </c>
      <c r="J24" s="15" t="s">
        <v>28</v>
      </c>
      <c r="K24" s="15" t="s">
        <v>28</v>
      </c>
      <c r="L24" s="15">
        <v>85.206000000000003</v>
      </c>
      <c r="M24" s="14">
        <v>1642.9349999999999</v>
      </c>
      <c r="N24" s="16">
        <v>28675.949000000001</v>
      </c>
      <c r="O24" s="8"/>
      <c r="P24" s="37"/>
      <c r="Q24" s="38"/>
      <c r="R24" s="15"/>
    </row>
    <row r="25" spans="1:18" s="5" customFormat="1" ht="11.25" customHeight="1" x14ac:dyDescent="0.2">
      <c r="A25" s="41" t="s">
        <v>42</v>
      </c>
      <c r="B25" s="15" t="s">
        <v>28</v>
      </c>
      <c r="C25" s="19" t="s">
        <v>28</v>
      </c>
      <c r="D25" s="15" t="s">
        <v>28</v>
      </c>
      <c r="E25" s="15" t="s">
        <v>28</v>
      </c>
      <c r="F25" s="15" t="s">
        <v>28</v>
      </c>
      <c r="G25" s="15" t="s">
        <v>28</v>
      </c>
      <c r="H25" s="14">
        <v>15580.154</v>
      </c>
      <c r="I25" s="14">
        <v>23028.237000000001</v>
      </c>
      <c r="J25" s="15">
        <v>72</v>
      </c>
      <c r="K25" s="17">
        <v>8.5749999999999993</v>
      </c>
      <c r="L25" s="15">
        <v>679.31200000000001</v>
      </c>
      <c r="M25" s="14">
        <v>919.79700000000003</v>
      </c>
      <c r="N25" s="16">
        <v>24635.921000000002</v>
      </c>
      <c r="O25" s="4"/>
      <c r="P25" s="37"/>
      <c r="Q25" s="41"/>
      <c r="R25" s="15"/>
    </row>
    <row r="26" spans="1:18" s="5" customFormat="1" ht="11.25" customHeight="1" x14ac:dyDescent="0.2">
      <c r="A26" s="38" t="s">
        <v>14</v>
      </c>
      <c r="B26" s="15" t="s">
        <v>28</v>
      </c>
      <c r="C26" s="19" t="s">
        <v>28</v>
      </c>
      <c r="D26" s="14">
        <v>520</v>
      </c>
      <c r="E26" s="14">
        <v>617.66200000000003</v>
      </c>
      <c r="F26" s="15" t="s">
        <v>28</v>
      </c>
      <c r="G26" s="15" t="s">
        <v>28</v>
      </c>
      <c r="H26" s="14">
        <v>2680.99</v>
      </c>
      <c r="I26" s="14">
        <v>6063.3639999999996</v>
      </c>
      <c r="J26" s="14">
        <v>3872</v>
      </c>
      <c r="K26" s="14">
        <v>5550.5919999999996</v>
      </c>
      <c r="L26" s="14">
        <v>30721.522000000001</v>
      </c>
      <c r="M26" s="14">
        <v>8884.152</v>
      </c>
      <c r="N26" s="16">
        <v>51838.291999999994</v>
      </c>
      <c r="O26" s="4"/>
      <c r="P26" s="37"/>
      <c r="Q26" s="38"/>
      <c r="R26" s="15"/>
    </row>
    <row r="27" spans="1:18" s="5" customFormat="1" ht="11.25" customHeight="1" x14ac:dyDescent="0.2">
      <c r="A27" s="38" t="s">
        <v>47</v>
      </c>
      <c r="B27" s="15" t="s">
        <v>28</v>
      </c>
      <c r="C27" s="19" t="s">
        <v>28</v>
      </c>
      <c r="D27" s="14">
        <v>175</v>
      </c>
      <c r="E27" s="14">
        <v>1197.3810000000001</v>
      </c>
      <c r="F27" s="15" t="s">
        <v>28</v>
      </c>
      <c r="G27" s="19" t="s">
        <v>28</v>
      </c>
      <c r="H27" s="15" t="s">
        <v>28</v>
      </c>
      <c r="I27" s="19" t="s">
        <v>28</v>
      </c>
      <c r="J27" s="15" t="s">
        <v>28</v>
      </c>
      <c r="K27" s="19">
        <v>331.31599999999997</v>
      </c>
      <c r="L27" s="19">
        <v>1.9990000000000001</v>
      </c>
      <c r="M27" s="19">
        <v>107.69499999999999</v>
      </c>
      <c r="N27" s="16">
        <v>1638.3910000000001</v>
      </c>
      <c r="O27" s="4"/>
      <c r="P27" s="4"/>
      <c r="Q27" s="38"/>
      <c r="R27" s="15"/>
    </row>
    <row r="28" spans="1:18" s="5" customFormat="1" ht="11.25" customHeight="1" x14ac:dyDescent="0.2">
      <c r="A28" s="38" t="s">
        <v>16</v>
      </c>
      <c r="B28" s="15" t="s">
        <v>28</v>
      </c>
      <c r="C28" s="15" t="s">
        <v>28</v>
      </c>
      <c r="D28" s="15" t="s">
        <v>28</v>
      </c>
      <c r="E28" s="15" t="s">
        <v>28</v>
      </c>
      <c r="F28" s="15" t="s">
        <v>28</v>
      </c>
      <c r="G28" s="15" t="s">
        <v>28</v>
      </c>
      <c r="H28" s="14">
        <v>3467.5619999999999</v>
      </c>
      <c r="I28" s="14">
        <v>8578.3889999999992</v>
      </c>
      <c r="J28" s="15">
        <v>21</v>
      </c>
      <c r="K28" s="15">
        <v>126.114</v>
      </c>
      <c r="L28" s="14">
        <v>781.76800000000003</v>
      </c>
      <c r="M28" s="14">
        <v>5224.5550000000003</v>
      </c>
      <c r="N28" s="16">
        <v>14710.825999999999</v>
      </c>
      <c r="O28" s="8"/>
      <c r="P28" s="37"/>
      <c r="Q28" s="38"/>
      <c r="R28" s="15"/>
    </row>
    <row r="29" spans="1:18" s="5" customFormat="1" ht="11.25" customHeight="1" x14ac:dyDescent="0.2">
      <c r="A29" s="38" t="s">
        <v>17</v>
      </c>
      <c r="B29" s="15" t="s">
        <v>28</v>
      </c>
      <c r="C29" s="15" t="s">
        <v>28</v>
      </c>
      <c r="D29" s="15">
        <v>3</v>
      </c>
      <c r="E29" s="15">
        <v>29.707000000000001</v>
      </c>
      <c r="F29" s="15" t="s">
        <v>28</v>
      </c>
      <c r="G29" s="15" t="s">
        <v>28</v>
      </c>
      <c r="H29" s="14">
        <v>664.11199999999997</v>
      </c>
      <c r="I29" s="14">
        <v>1490.597</v>
      </c>
      <c r="J29" s="15" t="s">
        <v>28</v>
      </c>
      <c r="K29" s="15" t="s">
        <v>28</v>
      </c>
      <c r="L29" s="15">
        <v>43.084000000000003</v>
      </c>
      <c r="M29" s="14">
        <v>63.668999999999997</v>
      </c>
      <c r="N29" s="16">
        <v>1628.057</v>
      </c>
      <c r="O29" s="4"/>
      <c r="P29" s="37"/>
      <c r="Q29" s="38"/>
      <c r="R29" s="15"/>
    </row>
    <row r="30" spans="1:18" s="5" customFormat="1" ht="11.25" customHeight="1" x14ac:dyDescent="0.2">
      <c r="A30" s="38" t="s">
        <v>18</v>
      </c>
      <c r="B30" s="15">
        <v>259</v>
      </c>
      <c r="C30" s="15">
        <v>281.89</v>
      </c>
      <c r="D30" s="14">
        <v>4024</v>
      </c>
      <c r="E30" s="14">
        <v>2859.9</v>
      </c>
      <c r="F30" s="15" t="s">
        <v>28</v>
      </c>
      <c r="G30" s="15" t="s">
        <v>28</v>
      </c>
      <c r="H30" s="15" t="s">
        <v>28</v>
      </c>
      <c r="I30" s="15" t="s">
        <v>28</v>
      </c>
      <c r="J30" s="15">
        <v>55</v>
      </c>
      <c r="K30" s="15">
        <v>44.55</v>
      </c>
      <c r="L30" s="15">
        <v>11.759</v>
      </c>
      <c r="M30" s="14">
        <v>363.21899999999999</v>
      </c>
      <c r="N30" s="16">
        <v>3562.3179999999998</v>
      </c>
      <c r="O30" s="4"/>
      <c r="P30" s="37"/>
      <c r="Q30" s="38"/>
      <c r="R30" s="15"/>
    </row>
    <row r="31" spans="1:18" s="5" customFormat="1" ht="11.25" customHeight="1" x14ac:dyDescent="0.2">
      <c r="A31" s="38" t="s">
        <v>33</v>
      </c>
      <c r="B31" s="15" t="s">
        <v>28</v>
      </c>
      <c r="C31" s="15" t="s">
        <v>28</v>
      </c>
      <c r="D31" s="14">
        <v>248</v>
      </c>
      <c r="E31" s="14">
        <v>671.14700000000005</v>
      </c>
      <c r="F31" s="15" t="s">
        <v>28</v>
      </c>
      <c r="G31" s="15" t="s">
        <v>28</v>
      </c>
      <c r="H31" s="15" t="s">
        <v>28</v>
      </c>
      <c r="I31" s="15" t="s">
        <v>28</v>
      </c>
      <c r="J31" s="15" t="s">
        <v>28</v>
      </c>
      <c r="K31" s="15" t="s">
        <v>28</v>
      </c>
      <c r="L31" s="15">
        <v>4.4290000000000003</v>
      </c>
      <c r="M31" s="15">
        <v>61.106999999999999</v>
      </c>
      <c r="N31" s="16">
        <v>735.68299999999999</v>
      </c>
      <c r="O31" s="4"/>
      <c r="P31" s="37"/>
      <c r="Q31" s="38"/>
      <c r="R31" s="15"/>
    </row>
    <row r="32" spans="1:18" s="5" customFormat="1" ht="11.25" customHeight="1" x14ac:dyDescent="0.2">
      <c r="A32" s="38" t="s">
        <v>19</v>
      </c>
      <c r="B32" s="15" t="s">
        <v>28</v>
      </c>
      <c r="C32" s="15" t="s">
        <v>28</v>
      </c>
      <c r="D32" s="15" t="s">
        <v>28</v>
      </c>
      <c r="E32" s="15" t="s">
        <v>28</v>
      </c>
      <c r="F32" s="15" t="s">
        <v>28</v>
      </c>
      <c r="G32" s="15" t="s">
        <v>28</v>
      </c>
      <c r="H32" s="15">
        <v>100</v>
      </c>
      <c r="I32" s="15">
        <v>97.76</v>
      </c>
      <c r="J32" s="15" t="s">
        <v>28</v>
      </c>
      <c r="K32" s="15" t="s">
        <v>28</v>
      </c>
      <c r="L32" s="15">
        <v>433.298</v>
      </c>
      <c r="M32" s="14">
        <v>1173.123</v>
      </c>
      <c r="N32" s="16">
        <v>1704.181</v>
      </c>
      <c r="O32" s="4"/>
      <c r="P32" s="37"/>
      <c r="Q32" s="38"/>
      <c r="R32" s="15"/>
    </row>
    <row r="33" spans="1:18" s="5" customFormat="1" ht="11.25" customHeight="1" x14ac:dyDescent="0.2">
      <c r="A33" s="38" t="s">
        <v>43</v>
      </c>
      <c r="B33" s="15" t="s">
        <v>28</v>
      </c>
      <c r="C33" s="15" t="s">
        <v>28</v>
      </c>
      <c r="D33" s="15">
        <v>2</v>
      </c>
      <c r="E33" s="15">
        <v>1.1160000000000001</v>
      </c>
      <c r="F33" s="15" t="s">
        <v>28</v>
      </c>
      <c r="G33" s="15" t="s">
        <v>28</v>
      </c>
      <c r="H33" s="15" t="s">
        <v>28</v>
      </c>
      <c r="I33" s="15" t="s">
        <v>28</v>
      </c>
      <c r="J33" s="15">
        <v>10</v>
      </c>
      <c r="K33" s="15">
        <v>13.262</v>
      </c>
      <c r="L33" s="15">
        <v>235.24100000000001</v>
      </c>
      <c r="M33" s="14">
        <v>320.697</v>
      </c>
      <c r="N33" s="16">
        <v>570.31600000000003</v>
      </c>
      <c r="O33" s="4"/>
      <c r="P33" s="37"/>
      <c r="Q33" s="38"/>
      <c r="R33" s="15"/>
    </row>
    <row r="34" spans="1:18" s="5" customFormat="1" ht="11.25" customHeight="1" x14ac:dyDescent="0.2">
      <c r="A34" s="38" t="s">
        <v>20</v>
      </c>
      <c r="B34" s="15" t="s">
        <v>28</v>
      </c>
      <c r="C34" s="15" t="s">
        <v>28</v>
      </c>
      <c r="D34" s="15" t="s">
        <v>28</v>
      </c>
      <c r="E34" s="15" t="s">
        <v>28</v>
      </c>
      <c r="F34" s="15" t="s">
        <v>28</v>
      </c>
      <c r="G34" s="15" t="s">
        <v>28</v>
      </c>
      <c r="H34" s="15" t="s">
        <v>28</v>
      </c>
      <c r="I34" s="15" t="s">
        <v>28</v>
      </c>
      <c r="J34" s="15" t="s">
        <v>28</v>
      </c>
      <c r="K34" s="15" t="s">
        <v>28</v>
      </c>
      <c r="L34" s="15">
        <v>7.74</v>
      </c>
      <c r="M34" s="14">
        <v>15835.710999999999</v>
      </c>
      <c r="N34" s="16">
        <v>15844.450999999999</v>
      </c>
      <c r="O34" s="4"/>
      <c r="P34" s="37"/>
      <c r="Q34" s="38"/>
      <c r="R34" s="15"/>
    </row>
    <row r="35" spans="1:18" s="5" customFormat="1" ht="11.25" customHeight="1" x14ac:dyDescent="0.2">
      <c r="A35" s="38" t="s">
        <v>21</v>
      </c>
      <c r="B35" s="15" t="s">
        <v>28</v>
      </c>
      <c r="C35" s="15" t="s">
        <v>28</v>
      </c>
      <c r="D35" s="14">
        <v>49</v>
      </c>
      <c r="E35" s="14">
        <v>217.286</v>
      </c>
      <c r="F35" s="15">
        <v>2024</v>
      </c>
      <c r="G35" s="15">
        <v>2148.5479999999998</v>
      </c>
      <c r="H35" s="14">
        <v>3346.373</v>
      </c>
      <c r="I35" s="14">
        <v>17692.105</v>
      </c>
      <c r="J35" s="14">
        <v>357</v>
      </c>
      <c r="K35" s="14">
        <v>364.899</v>
      </c>
      <c r="L35" s="14">
        <v>241.554</v>
      </c>
      <c r="M35" s="14">
        <v>1481.17</v>
      </c>
      <c r="N35" s="16">
        <v>22145.561999999998</v>
      </c>
      <c r="P35" s="37"/>
      <c r="Q35" s="38"/>
      <c r="R35" s="15"/>
    </row>
    <row r="36" spans="1:18" s="5" customFormat="1" ht="11.25" customHeight="1" x14ac:dyDescent="0.2">
      <c r="A36" s="38" t="s">
        <v>44</v>
      </c>
      <c r="B36" s="15" t="s">
        <v>28</v>
      </c>
      <c r="C36" s="15" t="s">
        <v>28</v>
      </c>
      <c r="D36" s="15" t="s">
        <v>28</v>
      </c>
      <c r="E36" s="15" t="s">
        <v>28</v>
      </c>
      <c r="F36" s="15" t="s">
        <v>28</v>
      </c>
      <c r="G36" s="15" t="s">
        <v>28</v>
      </c>
      <c r="H36" s="15" t="s">
        <v>28</v>
      </c>
      <c r="I36" s="15" t="s">
        <v>28</v>
      </c>
      <c r="J36" s="15" t="s">
        <v>28</v>
      </c>
      <c r="K36" s="15" t="s">
        <v>28</v>
      </c>
      <c r="L36" s="15" t="s">
        <v>28</v>
      </c>
      <c r="M36" s="14">
        <v>925.07100000000003</v>
      </c>
      <c r="N36" s="16">
        <v>925.07100000000003</v>
      </c>
      <c r="P36" s="4"/>
      <c r="Q36" s="38"/>
      <c r="R36" s="15"/>
    </row>
    <row r="37" spans="1:18" s="5" customFormat="1" ht="11.25" customHeight="1" x14ac:dyDescent="0.2">
      <c r="A37" s="38" t="s">
        <v>30</v>
      </c>
      <c r="B37" s="15">
        <v>1016</v>
      </c>
      <c r="C37" s="15">
        <v>541.95799999999997</v>
      </c>
      <c r="D37" s="14">
        <v>88</v>
      </c>
      <c r="E37" s="14">
        <v>60.14</v>
      </c>
      <c r="F37" s="15" t="s">
        <v>28</v>
      </c>
      <c r="G37" s="15" t="s">
        <v>28</v>
      </c>
      <c r="H37" s="15" t="s">
        <v>28</v>
      </c>
      <c r="I37" s="15" t="s">
        <v>28</v>
      </c>
      <c r="J37" s="15" t="s">
        <v>28</v>
      </c>
      <c r="K37" s="15" t="s">
        <v>28</v>
      </c>
      <c r="L37" s="15" t="s">
        <v>28</v>
      </c>
      <c r="M37" s="14">
        <v>11.523999999999999</v>
      </c>
      <c r="N37" s="16">
        <v>613.62199999999996</v>
      </c>
      <c r="P37" s="37"/>
      <c r="Q37" s="38"/>
      <c r="R37" s="15"/>
    </row>
    <row r="38" spans="1:18" s="5" customFormat="1" ht="11.25" customHeight="1" x14ac:dyDescent="0.2">
      <c r="A38" s="38" t="s">
        <v>22</v>
      </c>
      <c r="B38" s="15">
        <v>46</v>
      </c>
      <c r="C38" s="15">
        <v>14.84</v>
      </c>
      <c r="D38" s="15">
        <v>2</v>
      </c>
      <c r="E38" s="15">
        <v>4.032</v>
      </c>
      <c r="F38" s="15" t="s">
        <v>28</v>
      </c>
      <c r="G38" s="15" t="s">
        <v>28</v>
      </c>
      <c r="H38" s="15">
        <v>6492.4560000000001</v>
      </c>
      <c r="I38" s="15">
        <v>8059.9390000000003</v>
      </c>
      <c r="J38" s="15">
        <v>2</v>
      </c>
      <c r="K38" s="15">
        <v>9.9339999999999993</v>
      </c>
      <c r="L38" s="15">
        <v>673.89599999999996</v>
      </c>
      <c r="M38" s="15">
        <v>829.05600000000004</v>
      </c>
      <c r="N38" s="16">
        <v>9591.6970000000001</v>
      </c>
      <c r="O38" s="4"/>
      <c r="P38" s="37"/>
      <c r="Q38" s="38"/>
      <c r="R38" s="15"/>
    </row>
    <row r="39" spans="1:18" s="30" customFormat="1" ht="11.25" customHeight="1" x14ac:dyDescent="0.2">
      <c r="A39" s="40" t="s">
        <v>23</v>
      </c>
      <c r="B39" s="17" t="s">
        <v>28</v>
      </c>
      <c r="C39" s="17" t="s">
        <v>28</v>
      </c>
      <c r="D39" s="17" t="s">
        <v>28</v>
      </c>
      <c r="E39" s="17" t="s">
        <v>28</v>
      </c>
      <c r="F39" s="17" t="s">
        <v>28</v>
      </c>
      <c r="G39" s="17" t="s">
        <v>28</v>
      </c>
      <c r="H39" s="17">
        <v>813.322</v>
      </c>
      <c r="I39" s="17">
        <v>3286.453</v>
      </c>
      <c r="J39" s="17" t="s">
        <v>28</v>
      </c>
      <c r="K39" s="17" t="s">
        <v>28</v>
      </c>
      <c r="L39" s="17">
        <v>149.91399999999999</v>
      </c>
      <c r="M39" s="17">
        <v>702.97799999999995</v>
      </c>
      <c r="N39" s="16">
        <v>4139.3450000000003</v>
      </c>
      <c r="O39" s="39"/>
      <c r="P39" s="39"/>
      <c r="Q39" s="40"/>
      <c r="R39" s="17"/>
    </row>
    <row r="40" spans="1:18" s="5" customFormat="1" ht="11.25" customHeight="1" x14ac:dyDescent="0.2">
      <c r="A40" s="38" t="s">
        <v>24</v>
      </c>
      <c r="B40" s="15" t="s">
        <v>28</v>
      </c>
      <c r="C40" s="15" t="s">
        <v>28</v>
      </c>
      <c r="D40" s="15">
        <v>8</v>
      </c>
      <c r="E40" s="15">
        <v>25.420999999999999</v>
      </c>
      <c r="F40" s="15" t="s">
        <v>28</v>
      </c>
      <c r="G40" s="15" t="s">
        <v>28</v>
      </c>
      <c r="H40" s="14">
        <v>11945.138000000001</v>
      </c>
      <c r="I40" s="14">
        <v>18679.745999999999</v>
      </c>
      <c r="J40" s="15">
        <v>15</v>
      </c>
      <c r="K40" s="15">
        <v>1877.5440000000001</v>
      </c>
      <c r="L40" s="15">
        <v>91.296000000000006</v>
      </c>
      <c r="M40" s="14">
        <v>5931.1660000000002</v>
      </c>
      <c r="N40" s="16">
        <v>26605.172999999999</v>
      </c>
      <c r="O40" s="4"/>
      <c r="P40" s="37"/>
      <c r="Q40" s="38"/>
      <c r="R40" s="15"/>
    </row>
    <row r="41" spans="1:18" s="5" customFormat="1" ht="11.25" customHeight="1" x14ac:dyDescent="0.2">
      <c r="A41" s="38" t="s">
        <v>25</v>
      </c>
      <c r="B41" s="15" t="s">
        <v>28</v>
      </c>
      <c r="C41" s="15" t="s">
        <v>28</v>
      </c>
      <c r="D41" s="15" t="s">
        <v>28</v>
      </c>
      <c r="E41" s="15" t="s">
        <v>28</v>
      </c>
      <c r="F41" s="15" t="s">
        <v>28</v>
      </c>
      <c r="G41" s="15" t="s">
        <v>28</v>
      </c>
      <c r="H41" s="14">
        <v>89.2</v>
      </c>
      <c r="I41" s="14">
        <v>504.09500000000003</v>
      </c>
      <c r="J41" s="15" t="s">
        <v>28</v>
      </c>
      <c r="K41" s="15" t="s">
        <v>28</v>
      </c>
      <c r="L41" s="15">
        <v>59.984000000000002</v>
      </c>
      <c r="M41" s="14">
        <v>312.04899999999998</v>
      </c>
      <c r="N41" s="16">
        <v>876.12799999999993</v>
      </c>
      <c r="O41" s="4"/>
      <c r="P41" s="37"/>
      <c r="Q41" s="38"/>
      <c r="R41" s="15"/>
    </row>
    <row r="42" spans="1:18" s="5" customFormat="1" ht="11.25" customHeight="1" x14ac:dyDescent="0.2">
      <c r="A42" s="41" t="s">
        <v>31</v>
      </c>
      <c r="B42" s="15" t="s">
        <v>28</v>
      </c>
      <c r="C42" s="15" t="s">
        <v>28</v>
      </c>
      <c r="D42" s="15" t="s">
        <v>28</v>
      </c>
      <c r="E42" s="15" t="s">
        <v>28</v>
      </c>
      <c r="F42" s="15" t="s">
        <v>28</v>
      </c>
      <c r="G42" s="15" t="s">
        <v>28</v>
      </c>
      <c r="H42" s="14">
        <v>129.708</v>
      </c>
      <c r="I42" s="14">
        <v>1105.7059999999999</v>
      </c>
      <c r="J42" s="14">
        <v>4</v>
      </c>
      <c r="K42" s="14">
        <v>19.542999999999999</v>
      </c>
      <c r="L42" s="14">
        <v>856.25699999999995</v>
      </c>
      <c r="M42" s="14">
        <v>3332.9940000000001</v>
      </c>
      <c r="N42" s="16">
        <v>5314.5</v>
      </c>
      <c r="O42" s="4"/>
      <c r="P42" s="37"/>
      <c r="Q42" s="41"/>
      <c r="R42" s="15"/>
    </row>
    <row r="43" spans="1:18" s="5" customFormat="1" ht="11.25" customHeight="1" x14ac:dyDescent="0.2">
      <c r="A43" s="38" t="s">
        <v>26</v>
      </c>
      <c r="B43" s="15" t="s">
        <v>28</v>
      </c>
      <c r="C43" s="15" t="s">
        <v>28</v>
      </c>
      <c r="D43" s="15">
        <v>61</v>
      </c>
      <c r="E43" s="15">
        <v>50.844999999999999</v>
      </c>
      <c r="F43" s="15" t="s">
        <v>28</v>
      </c>
      <c r="G43" s="15" t="s">
        <v>28</v>
      </c>
      <c r="H43" s="15">
        <v>5264.32</v>
      </c>
      <c r="I43" s="15">
        <v>6634.4470000000001</v>
      </c>
      <c r="J43" s="14">
        <v>992</v>
      </c>
      <c r="K43" s="14">
        <v>460.37400000000002</v>
      </c>
      <c r="L43" s="14">
        <v>8459.1579999999994</v>
      </c>
      <c r="M43" s="14">
        <v>5328.3450000000003</v>
      </c>
      <c r="N43" s="16">
        <v>20932.169000000002</v>
      </c>
      <c r="O43" s="42"/>
      <c r="P43" s="37"/>
      <c r="Q43" s="38"/>
      <c r="R43" s="15"/>
    </row>
    <row r="44" spans="1:18" s="5" customFormat="1" ht="11.25" customHeight="1" x14ac:dyDescent="0.2">
      <c r="A44" s="38" t="s">
        <v>45</v>
      </c>
      <c r="B44" s="15" t="s">
        <v>28</v>
      </c>
      <c r="C44" s="15" t="s">
        <v>28</v>
      </c>
      <c r="D44" s="21">
        <v>1674</v>
      </c>
      <c r="E44" s="14">
        <v>2797.0509999999999</v>
      </c>
      <c r="F44" s="14">
        <v>902</v>
      </c>
      <c r="G44" s="14">
        <v>889.22400000000005</v>
      </c>
      <c r="H44" s="14">
        <v>21580.258999999998</v>
      </c>
      <c r="I44" s="14">
        <v>37973.061000000002</v>
      </c>
      <c r="J44" s="14">
        <v>1161</v>
      </c>
      <c r="K44" s="14">
        <v>1561.2470000000001</v>
      </c>
      <c r="L44" s="14">
        <v>2005.1</v>
      </c>
      <c r="M44" s="14">
        <v>22979.300999999999</v>
      </c>
      <c r="N44" s="16">
        <v>68204.984000000011</v>
      </c>
      <c r="O44" s="30"/>
      <c r="P44" s="37"/>
      <c r="Q44" s="41"/>
      <c r="R44" s="15"/>
    </row>
    <row r="45" spans="1:18" s="30" customFormat="1" ht="11.25" customHeight="1" x14ac:dyDescent="0.2">
      <c r="A45" s="40" t="s">
        <v>46</v>
      </c>
      <c r="B45" s="17" t="s">
        <v>28</v>
      </c>
      <c r="C45" s="17" t="s">
        <v>28</v>
      </c>
      <c r="D45" s="17" t="s">
        <v>28</v>
      </c>
      <c r="E45" s="17" t="s">
        <v>28</v>
      </c>
      <c r="F45" s="17" t="s">
        <v>28</v>
      </c>
      <c r="G45" s="17" t="s">
        <v>28</v>
      </c>
      <c r="H45" s="17" t="s">
        <v>28</v>
      </c>
      <c r="I45" s="17">
        <v>1.415</v>
      </c>
      <c r="J45" s="17" t="s">
        <v>28</v>
      </c>
      <c r="K45" s="17" t="s">
        <v>28</v>
      </c>
      <c r="L45" s="18">
        <v>16993.574000000001</v>
      </c>
      <c r="M45" s="18">
        <v>1485.038</v>
      </c>
      <c r="N45" s="20">
        <v>18480.027000000002</v>
      </c>
      <c r="O45" s="8"/>
      <c r="P45" s="39"/>
      <c r="Q45" s="40"/>
      <c r="R45" s="17"/>
    </row>
    <row r="46" spans="1:18" s="5" customFormat="1" ht="11.25" customHeight="1" x14ac:dyDescent="0.2">
      <c r="A46" s="4" t="s">
        <v>75</v>
      </c>
      <c r="B46" s="14">
        <v>71</v>
      </c>
      <c r="C46" s="14">
        <v>65.572999999999411</v>
      </c>
      <c r="D46" s="14">
        <v>708</v>
      </c>
      <c r="E46" s="14">
        <v>585.53799999999319</v>
      </c>
      <c r="F46" s="17" t="s">
        <v>28</v>
      </c>
      <c r="G46" s="17" t="s">
        <v>28</v>
      </c>
      <c r="H46" s="14">
        <v>74.37599999998929</v>
      </c>
      <c r="I46" s="14">
        <v>236.13500000012573</v>
      </c>
      <c r="J46" s="14">
        <v>108</v>
      </c>
      <c r="K46" s="14">
        <v>564.4529999999977</v>
      </c>
      <c r="L46" s="14">
        <v>589.0789999999688</v>
      </c>
      <c r="M46" s="14">
        <v>1636.6940000000177</v>
      </c>
      <c r="N46" s="16">
        <v>3678.4720000001025</v>
      </c>
      <c r="O46" s="8"/>
      <c r="P46" s="37"/>
      <c r="Q46" s="41"/>
      <c r="R46" s="14"/>
    </row>
    <row r="47" spans="1:18" s="8" customFormat="1" ht="11.25" customHeight="1" x14ac:dyDescent="0.15">
      <c r="A47" s="84" t="s">
        <v>27</v>
      </c>
      <c r="B47" s="22">
        <v>4637</v>
      </c>
      <c r="C47" s="22">
        <v>2719.9229999999998</v>
      </c>
      <c r="D47" s="22">
        <v>37267</v>
      </c>
      <c r="E47" s="22">
        <v>46806.904999999999</v>
      </c>
      <c r="F47" s="22">
        <v>6501</v>
      </c>
      <c r="G47" s="22">
        <v>6654.049</v>
      </c>
      <c r="H47" s="22">
        <v>425914.42800000001</v>
      </c>
      <c r="I47" s="22">
        <v>662215.08900000004</v>
      </c>
      <c r="J47" s="22">
        <v>18431</v>
      </c>
      <c r="K47" s="22">
        <v>27172.23</v>
      </c>
      <c r="L47" s="22">
        <v>143730.41399999999</v>
      </c>
      <c r="M47" s="22">
        <v>350341.44699999999</v>
      </c>
      <c r="N47" s="22">
        <v>1239640.057</v>
      </c>
      <c r="O47" s="45"/>
      <c r="P47" s="32"/>
      <c r="Q47" s="24"/>
      <c r="R47" s="44"/>
    </row>
    <row r="48" spans="1:18" s="8" customFormat="1" ht="11.25" customHeight="1" x14ac:dyDescent="0.15">
      <c r="A48" s="24"/>
      <c r="B48" s="16"/>
      <c r="C48" s="16"/>
      <c r="D48" s="16"/>
      <c r="E48" s="16"/>
      <c r="F48" s="16"/>
      <c r="G48" s="16"/>
      <c r="H48" s="16"/>
      <c r="I48" s="16"/>
      <c r="J48" s="16"/>
      <c r="K48" s="16"/>
      <c r="L48" s="16"/>
      <c r="M48" s="16"/>
      <c r="N48" s="16"/>
      <c r="O48" s="45"/>
      <c r="P48" s="32"/>
      <c r="Q48" s="24"/>
      <c r="R48" s="44"/>
    </row>
    <row r="49" spans="1:1" s="5" customFormat="1" ht="12.75" customHeight="1" x14ac:dyDescent="0.2">
      <c r="A49" s="79" t="s">
        <v>48</v>
      </c>
    </row>
    <row r="50" spans="1:1" s="5" customFormat="1" ht="12.75" customHeight="1" x14ac:dyDescent="0.2">
      <c r="A50" s="80" t="s">
        <v>49</v>
      </c>
    </row>
    <row r="51" spans="1:1" s="5" customFormat="1" ht="12.75" customHeight="1" x14ac:dyDescent="0.2">
      <c r="A51" s="80"/>
    </row>
    <row r="52" spans="1:1" s="5" customFormat="1" ht="12.75" customHeight="1" x14ac:dyDescent="0.2">
      <c r="A52" s="3" t="s">
        <v>37</v>
      </c>
    </row>
    <row r="53" spans="1:1" s="5" customFormat="1" ht="12.75" customHeight="1" x14ac:dyDescent="0.2">
      <c r="A53" s="4" t="s">
        <v>54</v>
      </c>
    </row>
    <row r="54" spans="1:1" s="5" customFormat="1" ht="12.75" customHeight="1" x14ac:dyDescent="0.2">
      <c r="A54" s="4" t="s">
        <v>55</v>
      </c>
    </row>
    <row r="55" spans="1:1" s="5" customFormat="1" ht="12.75" customHeight="1" x14ac:dyDescent="0.2">
      <c r="A55" s="4" t="s">
        <v>56</v>
      </c>
    </row>
    <row r="56" spans="1:1" s="5" customFormat="1" ht="12.75" customHeight="1" x14ac:dyDescent="0.2">
      <c r="A56" s="4" t="s">
        <v>67</v>
      </c>
    </row>
    <row r="57" spans="1:1" s="5" customFormat="1" ht="12.75" customHeight="1" x14ac:dyDescent="0.2">
      <c r="A57" s="4" t="s">
        <v>68</v>
      </c>
    </row>
    <row r="58" spans="1:1" s="5" customFormat="1" ht="12.75" customHeight="1" x14ac:dyDescent="0.2">
      <c r="A58" s="4" t="s">
        <v>72</v>
      </c>
    </row>
    <row r="59" spans="1:1" s="5" customFormat="1" ht="12.75" customHeight="1" x14ac:dyDescent="0.2">
      <c r="A59" s="4" t="s">
        <v>73</v>
      </c>
    </row>
    <row r="60" spans="1:1" s="5" customFormat="1" ht="12.75" customHeight="1" x14ac:dyDescent="0.2">
      <c r="A60" s="4" t="s">
        <v>74</v>
      </c>
    </row>
    <row r="61" spans="1:1" ht="12.75" customHeight="1" x14ac:dyDescent="0.2"/>
    <row r="62" spans="1:1" ht="12.75" customHeight="1" x14ac:dyDescent="0.2">
      <c r="A62" s="3" t="s">
        <v>50</v>
      </c>
    </row>
    <row r="63" spans="1:1" ht="12.75" customHeight="1" x14ac:dyDescent="0.2">
      <c r="A63" s="81" t="s">
        <v>51</v>
      </c>
    </row>
    <row r="64" spans="1:1"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sheetData>
  <mergeCells count="6">
    <mergeCell ref="H3:I3"/>
    <mergeCell ref="J3:K3"/>
    <mergeCell ref="A3:A5"/>
    <mergeCell ref="B3:C3"/>
    <mergeCell ref="D3:E3"/>
    <mergeCell ref="F3:G3"/>
  </mergeCells>
  <phoneticPr fontId="2" type="noConversion"/>
  <pageMargins left="0.75" right="0.75" top="1" bottom="1" header="0.5" footer="0.5"/>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69"/>
  <sheetViews>
    <sheetView workbookViewId="0"/>
  </sheetViews>
  <sheetFormatPr defaultRowHeight="12.75" x14ac:dyDescent="0.2"/>
  <cols>
    <col min="1" max="1" width="20" style="82" customWidth="1"/>
    <col min="2" max="11" width="8.7109375" style="1" customWidth="1"/>
    <col min="12" max="12" width="12.28515625" style="1" customWidth="1"/>
    <col min="13" max="14" width="11.7109375" style="1" customWidth="1"/>
    <col min="15" max="16384" width="9.140625" style="1"/>
  </cols>
  <sheetData>
    <row r="1" spans="1:18" s="2" customFormat="1" ht="17.25" customHeight="1" x14ac:dyDescent="0.25">
      <c r="A1" s="76" t="s">
        <v>79</v>
      </c>
    </row>
    <row r="2" spans="1:18" s="2" customFormat="1" ht="11.25" customHeight="1" x14ac:dyDescent="0.25">
      <c r="A2" s="76"/>
    </row>
    <row r="3" spans="1:18" s="77" customFormat="1" ht="25.5" customHeight="1" x14ac:dyDescent="0.2">
      <c r="A3" s="175" t="s">
        <v>38</v>
      </c>
      <c r="B3" s="170" t="s">
        <v>36</v>
      </c>
      <c r="C3" s="170"/>
      <c r="D3" s="173" t="s">
        <v>65</v>
      </c>
      <c r="E3" s="173"/>
      <c r="F3" s="170" t="s">
        <v>35</v>
      </c>
      <c r="G3" s="170"/>
      <c r="H3" s="173" t="s">
        <v>66</v>
      </c>
      <c r="I3" s="173"/>
      <c r="J3" s="170" t="s">
        <v>70</v>
      </c>
      <c r="K3" s="170"/>
      <c r="L3" s="90" t="s">
        <v>53</v>
      </c>
      <c r="M3" s="90" t="s">
        <v>71</v>
      </c>
      <c r="N3" s="90" t="s">
        <v>34</v>
      </c>
    </row>
    <row r="4" spans="1:18" s="77" customFormat="1" ht="10.5" x14ac:dyDescent="0.2">
      <c r="A4" s="175"/>
      <c r="B4" s="89" t="s">
        <v>59</v>
      </c>
      <c r="C4" s="89" t="s">
        <v>57</v>
      </c>
      <c r="D4" s="90" t="s">
        <v>69</v>
      </c>
      <c r="E4" s="90" t="s">
        <v>57</v>
      </c>
      <c r="F4" s="89" t="s">
        <v>58</v>
      </c>
      <c r="G4" s="89" t="s">
        <v>57</v>
      </c>
      <c r="H4" s="90" t="s">
        <v>58</v>
      </c>
      <c r="I4" s="90" t="s">
        <v>57</v>
      </c>
      <c r="J4" s="89" t="s">
        <v>58</v>
      </c>
      <c r="K4" s="89" t="s">
        <v>57</v>
      </c>
      <c r="L4" s="90" t="s">
        <v>57</v>
      </c>
      <c r="M4" s="90" t="s">
        <v>57</v>
      </c>
      <c r="N4" s="90" t="s">
        <v>57</v>
      </c>
    </row>
    <row r="5" spans="1:18" s="31" customFormat="1" ht="12.75" customHeight="1" x14ac:dyDescent="0.2">
      <c r="A5" s="176"/>
      <c r="B5" s="88" t="s">
        <v>60</v>
      </c>
      <c r="C5" s="88" t="s">
        <v>61</v>
      </c>
      <c r="D5" s="88" t="s">
        <v>62</v>
      </c>
      <c r="E5" s="88" t="s">
        <v>61</v>
      </c>
      <c r="F5" s="88" t="s">
        <v>63</v>
      </c>
      <c r="G5" s="88" t="s">
        <v>61</v>
      </c>
      <c r="H5" s="88" t="s">
        <v>63</v>
      </c>
      <c r="I5" s="88" t="s">
        <v>61</v>
      </c>
      <c r="J5" s="88" t="s">
        <v>64</v>
      </c>
      <c r="K5" s="88" t="s">
        <v>61</v>
      </c>
      <c r="L5" s="88" t="s">
        <v>61</v>
      </c>
      <c r="M5" s="88" t="s">
        <v>61</v>
      </c>
      <c r="N5" s="88" t="s">
        <v>61</v>
      </c>
    </row>
    <row r="6" spans="1:18" s="5" customFormat="1" ht="11.25" customHeight="1" x14ac:dyDescent="0.2">
      <c r="A6" s="38" t="s">
        <v>0</v>
      </c>
      <c r="B6" s="14">
        <v>4996</v>
      </c>
      <c r="C6" s="14">
        <v>2410.4920000000002</v>
      </c>
      <c r="D6" s="14">
        <v>9096</v>
      </c>
      <c r="E6" s="14">
        <v>8094.18</v>
      </c>
      <c r="F6" s="15">
        <v>579</v>
      </c>
      <c r="G6" s="15">
        <v>862.86500000000001</v>
      </c>
      <c r="H6" s="14">
        <v>196495.035</v>
      </c>
      <c r="I6" s="14">
        <v>272173.61099999998</v>
      </c>
      <c r="J6" s="14">
        <v>11255</v>
      </c>
      <c r="K6" s="14">
        <v>12281.09</v>
      </c>
      <c r="L6" s="14">
        <v>14069.905000000001</v>
      </c>
      <c r="M6" s="14">
        <v>155453.40400000001</v>
      </c>
      <c r="N6" s="16">
        <v>465344.54700000002</v>
      </c>
      <c r="O6" s="36"/>
      <c r="P6" s="37"/>
      <c r="Q6" s="38"/>
      <c r="R6" s="14"/>
    </row>
    <row r="7" spans="1:18" s="5" customFormat="1" ht="11.25" customHeight="1" x14ac:dyDescent="0.2">
      <c r="A7" s="38" t="s">
        <v>1</v>
      </c>
      <c r="B7" s="15" t="s">
        <v>28</v>
      </c>
      <c r="C7" s="15" t="s">
        <v>28</v>
      </c>
      <c r="D7" s="15" t="s">
        <v>28</v>
      </c>
      <c r="E7" s="15" t="s">
        <v>28</v>
      </c>
      <c r="F7" s="15" t="s">
        <v>28</v>
      </c>
      <c r="G7" s="15" t="s">
        <v>28</v>
      </c>
      <c r="H7" s="14">
        <v>2922.453</v>
      </c>
      <c r="I7" s="14">
        <v>7296.1710000000003</v>
      </c>
      <c r="J7" s="15">
        <v>3</v>
      </c>
      <c r="K7" s="15">
        <v>5.5410000000000004</v>
      </c>
      <c r="L7" s="14">
        <v>3.6779999999999999</v>
      </c>
      <c r="M7" s="14">
        <v>128.143</v>
      </c>
      <c r="N7" s="16">
        <v>7433.5330000000004</v>
      </c>
      <c r="P7" s="37"/>
      <c r="Q7" s="38"/>
      <c r="R7" s="15"/>
    </row>
    <row r="8" spans="1:18" s="5" customFormat="1" ht="11.25" customHeight="1" x14ac:dyDescent="0.2">
      <c r="A8" s="38" t="s">
        <v>2</v>
      </c>
      <c r="B8" s="15" t="s">
        <v>28</v>
      </c>
      <c r="C8" s="15"/>
      <c r="D8" s="15" t="s">
        <v>28</v>
      </c>
      <c r="E8" s="15" t="s">
        <v>28</v>
      </c>
      <c r="F8" s="15" t="s">
        <v>28</v>
      </c>
      <c r="G8" s="15" t="s">
        <v>28</v>
      </c>
      <c r="H8" s="14">
        <v>6514.7790000000005</v>
      </c>
      <c r="I8" s="14">
        <v>14119.014999999999</v>
      </c>
      <c r="J8" s="15">
        <v>9</v>
      </c>
      <c r="K8" s="15">
        <v>91.816000000000003</v>
      </c>
      <c r="L8" s="15">
        <v>170.97200000000001</v>
      </c>
      <c r="M8" s="14">
        <v>2387.4720000000002</v>
      </c>
      <c r="N8" s="16">
        <v>16769.275000000001</v>
      </c>
      <c r="O8" s="4"/>
      <c r="P8" s="37"/>
      <c r="Q8" s="38"/>
      <c r="R8" s="15"/>
    </row>
    <row r="9" spans="1:18" s="5" customFormat="1" ht="11.25" customHeight="1" x14ac:dyDescent="0.2">
      <c r="A9" s="38" t="s">
        <v>3</v>
      </c>
      <c r="B9" s="15">
        <v>20</v>
      </c>
      <c r="C9" s="15">
        <v>22.937000000000001</v>
      </c>
      <c r="D9" s="15">
        <v>844</v>
      </c>
      <c r="E9" s="15">
        <v>1217.1690000000001</v>
      </c>
      <c r="F9" s="15" t="s">
        <v>28</v>
      </c>
      <c r="G9" s="15" t="s">
        <v>28</v>
      </c>
      <c r="H9" s="15">
        <v>576.596</v>
      </c>
      <c r="I9" s="15">
        <v>1153.8150000000001</v>
      </c>
      <c r="J9" s="14">
        <v>1</v>
      </c>
      <c r="K9" s="14">
        <v>1.7130000000000001</v>
      </c>
      <c r="L9" s="14">
        <v>74.763999999999996</v>
      </c>
      <c r="M9" s="14">
        <v>340.26100000000002</v>
      </c>
      <c r="N9" s="16">
        <v>2810.6590000000001</v>
      </c>
      <c r="O9" s="4"/>
      <c r="P9" s="37"/>
      <c r="Q9" s="38"/>
      <c r="R9" s="15"/>
    </row>
    <row r="10" spans="1:18" s="30" customFormat="1" ht="11.25" customHeight="1" x14ac:dyDescent="0.2">
      <c r="A10" s="40" t="s">
        <v>29</v>
      </c>
      <c r="B10" s="17" t="s">
        <v>28</v>
      </c>
      <c r="C10" s="17" t="s">
        <v>28</v>
      </c>
      <c r="D10" s="18">
        <v>6</v>
      </c>
      <c r="E10" s="18">
        <v>34.877000000000002</v>
      </c>
      <c r="F10" s="17" t="s">
        <v>28</v>
      </c>
      <c r="G10" s="17" t="s">
        <v>28</v>
      </c>
      <c r="H10" s="18">
        <v>2659.3519999999999</v>
      </c>
      <c r="I10" s="18">
        <v>11285.946</v>
      </c>
      <c r="J10" s="18">
        <v>52</v>
      </c>
      <c r="K10" s="18">
        <v>175.53700000000001</v>
      </c>
      <c r="L10" s="18">
        <v>620.923</v>
      </c>
      <c r="M10" s="18">
        <v>6732.6310000000003</v>
      </c>
      <c r="N10" s="16">
        <v>18850.914000000001</v>
      </c>
      <c r="O10" s="39"/>
      <c r="P10" s="39"/>
      <c r="Q10" s="40"/>
      <c r="R10" s="17"/>
    </row>
    <row r="11" spans="1:18" s="5" customFormat="1" ht="11.25" customHeight="1" x14ac:dyDescent="0.2">
      <c r="A11" s="38" t="s">
        <v>4</v>
      </c>
      <c r="B11" s="17" t="s">
        <v>28</v>
      </c>
      <c r="C11" s="17" t="s">
        <v>28</v>
      </c>
      <c r="D11" s="14">
        <v>11388</v>
      </c>
      <c r="E11" s="14">
        <v>19863.561000000002</v>
      </c>
      <c r="F11" s="15">
        <v>24</v>
      </c>
      <c r="G11" s="15">
        <v>52.155000000000001</v>
      </c>
      <c r="H11" s="14">
        <v>192.179</v>
      </c>
      <c r="I11" s="14">
        <v>1052.057</v>
      </c>
      <c r="J11" s="14">
        <v>198</v>
      </c>
      <c r="K11" s="14">
        <v>1135.0170000000001</v>
      </c>
      <c r="L11" s="14">
        <v>246.143</v>
      </c>
      <c r="M11" s="14">
        <v>2919.6889999999999</v>
      </c>
      <c r="N11" s="16">
        <v>25268.622000000003</v>
      </c>
      <c r="O11" s="4"/>
      <c r="P11" s="37"/>
      <c r="Q11" s="38"/>
      <c r="R11" s="15"/>
    </row>
    <row r="12" spans="1:18" s="30" customFormat="1" ht="11.25" customHeight="1" x14ac:dyDescent="0.2">
      <c r="A12" s="40" t="s">
        <v>40</v>
      </c>
      <c r="B12" s="17" t="s">
        <v>28</v>
      </c>
      <c r="C12" s="17" t="s">
        <v>28</v>
      </c>
      <c r="D12" s="18">
        <v>20</v>
      </c>
      <c r="E12" s="18">
        <v>26.344000000000001</v>
      </c>
      <c r="F12" s="17" t="s">
        <v>28</v>
      </c>
      <c r="G12" s="17" t="s">
        <v>28</v>
      </c>
      <c r="H12" s="18">
        <v>8698.1820000000007</v>
      </c>
      <c r="I12" s="18">
        <v>16129.53</v>
      </c>
      <c r="J12" s="15">
        <v>506</v>
      </c>
      <c r="K12" s="18">
        <v>387.1</v>
      </c>
      <c r="L12" s="18">
        <v>14957.880999999999</v>
      </c>
      <c r="M12" s="18">
        <v>20640.935000000001</v>
      </c>
      <c r="N12" s="16">
        <v>52141.79</v>
      </c>
      <c r="O12" s="39"/>
      <c r="P12" s="39"/>
      <c r="Q12" s="40"/>
      <c r="R12" s="17"/>
    </row>
    <row r="13" spans="1:18" s="30" customFormat="1" ht="11.25" customHeight="1" x14ac:dyDescent="0.2">
      <c r="A13" s="40" t="s">
        <v>5</v>
      </c>
      <c r="B13" s="17" t="s">
        <v>28</v>
      </c>
      <c r="C13" s="17" t="s">
        <v>28</v>
      </c>
      <c r="D13" s="17">
        <v>13</v>
      </c>
      <c r="E13" s="17">
        <v>37.723999999999997</v>
      </c>
      <c r="F13" s="17" t="s">
        <v>28</v>
      </c>
      <c r="G13" s="17" t="s">
        <v>28</v>
      </c>
      <c r="H13" s="18">
        <v>207.447</v>
      </c>
      <c r="I13" s="18">
        <v>724.303</v>
      </c>
      <c r="J13" s="15">
        <v>2</v>
      </c>
      <c r="K13" s="15">
        <v>8.1189999999999998</v>
      </c>
      <c r="L13" s="18">
        <v>1950.511</v>
      </c>
      <c r="M13" s="18">
        <v>7532.8159999999998</v>
      </c>
      <c r="N13" s="16">
        <v>10254.473</v>
      </c>
      <c r="O13" s="39"/>
      <c r="P13" s="39"/>
      <c r="Q13" s="40"/>
      <c r="R13" s="17"/>
    </row>
    <row r="14" spans="1:18" s="5" customFormat="1" ht="11.25" customHeight="1" x14ac:dyDescent="0.2">
      <c r="A14" s="38" t="s">
        <v>6</v>
      </c>
      <c r="B14" s="15">
        <v>1</v>
      </c>
      <c r="C14" s="15">
        <v>0.68500000000000005</v>
      </c>
      <c r="D14" s="14">
        <v>3521</v>
      </c>
      <c r="E14" s="14">
        <v>3811.0839999999998</v>
      </c>
      <c r="F14" s="15" t="s">
        <v>28</v>
      </c>
      <c r="G14" s="15" t="s">
        <v>28</v>
      </c>
      <c r="H14" s="15" t="s">
        <v>28</v>
      </c>
      <c r="I14" s="15" t="s">
        <v>28</v>
      </c>
      <c r="J14" s="14">
        <v>1285</v>
      </c>
      <c r="K14" s="14">
        <v>1553.3009999999999</v>
      </c>
      <c r="L14" s="19">
        <v>439.26400000000001</v>
      </c>
      <c r="M14" s="14">
        <v>674.56600000000003</v>
      </c>
      <c r="N14" s="16">
        <v>6478.9</v>
      </c>
      <c r="O14" s="4"/>
      <c r="P14" s="37"/>
      <c r="Q14" s="38"/>
      <c r="R14" s="15"/>
    </row>
    <row r="15" spans="1:18" s="5" customFormat="1" ht="11.25" customHeight="1" x14ac:dyDescent="0.2">
      <c r="A15" s="38" t="s">
        <v>7</v>
      </c>
      <c r="B15" s="15" t="s">
        <v>28</v>
      </c>
      <c r="C15" s="15" t="s">
        <v>28</v>
      </c>
      <c r="D15" s="15">
        <v>18</v>
      </c>
      <c r="E15" s="15">
        <v>11.215</v>
      </c>
      <c r="F15" s="15" t="s">
        <v>28</v>
      </c>
      <c r="G15" s="15" t="s">
        <v>28</v>
      </c>
      <c r="H15" s="14">
        <v>20821.902999999998</v>
      </c>
      <c r="I15" s="14">
        <v>40025.148000000001</v>
      </c>
      <c r="J15" s="15">
        <v>22</v>
      </c>
      <c r="K15" s="19">
        <v>201.43100000000001</v>
      </c>
      <c r="L15" s="19">
        <v>76.802999999999997</v>
      </c>
      <c r="M15" s="14">
        <v>412.71899999999999</v>
      </c>
      <c r="N15" s="16">
        <v>40727.315999999999</v>
      </c>
      <c r="O15" s="4"/>
      <c r="P15" s="37"/>
      <c r="Q15" s="38"/>
      <c r="R15" s="15"/>
    </row>
    <row r="16" spans="1:18" s="5" customFormat="1" ht="11.25" customHeight="1" x14ac:dyDescent="0.2">
      <c r="A16" s="38" t="s">
        <v>8</v>
      </c>
      <c r="B16" s="15" t="s">
        <v>28</v>
      </c>
      <c r="C16" s="15" t="s">
        <v>28</v>
      </c>
      <c r="D16" s="15">
        <v>137</v>
      </c>
      <c r="E16" s="15">
        <v>178.446</v>
      </c>
      <c r="F16" s="15">
        <v>394</v>
      </c>
      <c r="G16" s="15">
        <v>397.911</v>
      </c>
      <c r="H16" s="14">
        <v>1889.231</v>
      </c>
      <c r="I16" s="14">
        <v>6248.8450000000003</v>
      </c>
      <c r="J16" s="15">
        <v>213</v>
      </c>
      <c r="K16" s="19">
        <v>521.16399999999999</v>
      </c>
      <c r="L16" s="19">
        <v>1029.278</v>
      </c>
      <c r="M16" s="14">
        <v>27484.238000000001</v>
      </c>
      <c r="N16" s="20">
        <v>35858.882000000005</v>
      </c>
      <c r="O16" s="4"/>
      <c r="P16" s="37"/>
      <c r="Q16" s="38"/>
      <c r="R16" s="15"/>
    </row>
    <row r="17" spans="1:18" s="5" customFormat="1" ht="11.25" customHeight="1" x14ac:dyDescent="0.2">
      <c r="A17" s="41" t="s">
        <v>9</v>
      </c>
      <c r="B17" s="15" t="s">
        <v>28</v>
      </c>
      <c r="C17" s="15" t="s">
        <v>28</v>
      </c>
      <c r="D17" s="15">
        <v>5</v>
      </c>
      <c r="E17" s="15">
        <v>11.084</v>
      </c>
      <c r="F17" s="15">
        <v>92</v>
      </c>
      <c r="G17" s="15">
        <v>347.69900000000001</v>
      </c>
      <c r="H17" s="14">
        <v>12475.288</v>
      </c>
      <c r="I17" s="14">
        <v>30958.776999999998</v>
      </c>
      <c r="J17" s="14">
        <v>64</v>
      </c>
      <c r="K17" s="14">
        <v>598.88599999999997</v>
      </c>
      <c r="L17" s="14">
        <v>1062.73</v>
      </c>
      <c r="M17" s="14">
        <v>16399.349999999999</v>
      </c>
      <c r="N17" s="16">
        <v>49378.525999999998</v>
      </c>
      <c r="O17" s="4"/>
      <c r="P17" s="37"/>
      <c r="Q17" s="41"/>
      <c r="R17" s="15"/>
    </row>
    <row r="18" spans="1:18" s="5" customFormat="1" ht="11.25" customHeight="1" x14ac:dyDescent="0.2">
      <c r="A18" s="38" t="s">
        <v>41</v>
      </c>
      <c r="B18" s="15" t="s">
        <v>28</v>
      </c>
      <c r="C18" s="15" t="s">
        <v>28</v>
      </c>
      <c r="D18" s="15">
        <v>49</v>
      </c>
      <c r="E18" s="15">
        <v>36.270000000000003</v>
      </c>
      <c r="F18" s="15" t="s">
        <v>28</v>
      </c>
      <c r="G18" s="15" t="s">
        <v>28</v>
      </c>
      <c r="H18" s="14">
        <v>29.946000000000002</v>
      </c>
      <c r="I18" s="14">
        <v>398.66</v>
      </c>
      <c r="J18" s="17" t="s">
        <v>28</v>
      </c>
      <c r="K18" s="17" t="s">
        <v>28</v>
      </c>
      <c r="L18" s="15">
        <v>523.60699999999997</v>
      </c>
      <c r="M18" s="14">
        <v>2121.4630000000002</v>
      </c>
      <c r="N18" s="16">
        <v>3080</v>
      </c>
      <c r="O18" s="4"/>
      <c r="P18" s="37"/>
      <c r="Q18" s="38"/>
      <c r="R18" s="15"/>
    </row>
    <row r="19" spans="1:18" s="30" customFormat="1" ht="11.25" customHeight="1" x14ac:dyDescent="0.2">
      <c r="A19" s="40" t="s">
        <v>10</v>
      </c>
      <c r="B19" s="17" t="s">
        <v>28</v>
      </c>
      <c r="C19" s="17" t="s">
        <v>28</v>
      </c>
      <c r="D19" s="17" t="s">
        <v>28</v>
      </c>
      <c r="E19" s="17" t="s">
        <v>28</v>
      </c>
      <c r="F19" s="17" t="s">
        <v>28</v>
      </c>
      <c r="G19" s="17" t="s">
        <v>28</v>
      </c>
      <c r="H19" s="18">
        <v>335.56700000000001</v>
      </c>
      <c r="I19" s="18">
        <v>790.86099999999999</v>
      </c>
      <c r="J19" s="17" t="s">
        <v>28</v>
      </c>
      <c r="K19" s="17" t="s">
        <v>28</v>
      </c>
      <c r="L19" s="17">
        <v>616.58699999999999</v>
      </c>
      <c r="M19" s="18">
        <v>958.06299999999999</v>
      </c>
      <c r="N19" s="16">
        <v>2365.511</v>
      </c>
      <c r="O19" s="39"/>
      <c r="P19" s="39"/>
      <c r="Q19" s="40"/>
      <c r="R19" s="17"/>
    </row>
    <row r="20" spans="1:18" s="5" customFormat="1" ht="11.25" customHeight="1" x14ac:dyDescent="0.2">
      <c r="A20" s="38" t="s">
        <v>11</v>
      </c>
      <c r="B20" s="15">
        <v>2</v>
      </c>
      <c r="C20" s="15">
        <v>1.349</v>
      </c>
      <c r="D20" s="14">
        <v>1516</v>
      </c>
      <c r="E20" s="14">
        <v>2194.2040000000002</v>
      </c>
      <c r="F20" s="15">
        <v>3900</v>
      </c>
      <c r="G20" s="15">
        <v>3610.3069999999998</v>
      </c>
      <c r="H20" s="14">
        <v>41878.559000000001</v>
      </c>
      <c r="I20" s="14">
        <v>77012.137000000002</v>
      </c>
      <c r="J20" s="14">
        <v>536</v>
      </c>
      <c r="K20" s="14">
        <v>1363.0530000000001</v>
      </c>
      <c r="L20" s="14">
        <v>10229.162</v>
      </c>
      <c r="M20" s="14">
        <v>16334.605</v>
      </c>
      <c r="N20" s="16">
        <v>110743.817</v>
      </c>
      <c r="O20" s="4"/>
      <c r="P20" s="37"/>
      <c r="Q20" s="38"/>
      <c r="R20" s="15"/>
    </row>
    <row r="21" spans="1:18" s="5" customFormat="1" ht="11.25" customHeight="1" x14ac:dyDescent="0.2">
      <c r="A21" s="38" t="s">
        <v>12</v>
      </c>
      <c r="B21" s="15" t="s">
        <v>28</v>
      </c>
      <c r="C21" s="15" t="s">
        <v>28</v>
      </c>
      <c r="D21" s="15">
        <v>144</v>
      </c>
      <c r="E21" s="15">
        <v>254.416</v>
      </c>
      <c r="F21" s="15" t="s">
        <v>28</v>
      </c>
      <c r="G21" s="15" t="s">
        <v>28</v>
      </c>
      <c r="H21" s="14">
        <v>10412.627</v>
      </c>
      <c r="I21" s="14">
        <v>22241.636999999999</v>
      </c>
      <c r="J21" s="15">
        <v>56</v>
      </c>
      <c r="K21" s="15">
        <v>155.22399999999999</v>
      </c>
      <c r="L21" s="15">
        <v>14214.261</v>
      </c>
      <c r="M21" s="14">
        <v>5101.4780000000001</v>
      </c>
      <c r="N21" s="16">
        <v>41966.015999999996</v>
      </c>
      <c r="O21" s="4"/>
      <c r="P21" s="37"/>
      <c r="Q21" s="38"/>
      <c r="R21" s="15"/>
    </row>
    <row r="22" spans="1:18" s="5" customFormat="1" ht="11.25" customHeight="1" x14ac:dyDescent="0.2">
      <c r="A22" s="38" t="s">
        <v>13</v>
      </c>
      <c r="B22" s="15" t="s">
        <v>28</v>
      </c>
      <c r="C22" s="15" t="s">
        <v>28</v>
      </c>
      <c r="D22" s="15" t="s">
        <v>28</v>
      </c>
      <c r="E22" s="15" t="s">
        <v>28</v>
      </c>
      <c r="F22" s="15">
        <v>6</v>
      </c>
      <c r="G22" s="15">
        <v>40.741</v>
      </c>
      <c r="H22" s="14">
        <v>12429.951999999999</v>
      </c>
      <c r="I22" s="14">
        <v>30401.255000000001</v>
      </c>
      <c r="J22" s="15" t="s">
        <v>28</v>
      </c>
      <c r="K22" s="15">
        <v>28.1</v>
      </c>
      <c r="L22" s="15">
        <v>61.875999999999998</v>
      </c>
      <c r="M22" s="14">
        <v>1696.674</v>
      </c>
      <c r="N22" s="16">
        <v>32228.646000000004</v>
      </c>
      <c r="O22" s="8"/>
      <c r="P22" s="37"/>
      <c r="Q22" s="38"/>
      <c r="R22" s="15"/>
    </row>
    <row r="23" spans="1:18" s="5" customFormat="1" ht="11.25" customHeight="1" x14ac:dyDescent="0.2">
      <c r="A23" s="41" t="s">
        <v>42</v>
      </c>
      <c r="B23" s="15" t="s">
        <v>28</v>
      </c>
      <c r="C23" s="19" t="s">
        <v>28</v>
      </c>
      <c r="D23" s="15" t="s">
        <v>28</v>
      </c>
      <c r="E23" s="15" t="s">
        <v>28</v>
      </c>
      <c r="F23" s="15" t="s">
        <v>28</v>
      </c>
      <c r="G23" s="15" t="s">
        <v>28</v>
      </c>
      <c r="H23" s="14">
        <v>10994.448</v>
      </c>
      <c r="I23" s="14">
        <v>20233.322</v>
      </c>
      <c r="J23" s="15" t="s">
        <v>28</v>
      </c>
      <c r="K23" s="17" t="s">
        <v>28</v>
      </c>
      <c r="L23" s="15">
        <v>340.54</v>
      </c>
      <c r="M23" s="14">
        <v>869.32299999999998</v>
      </c>
      <c r="N23" s="16">
        <v>21443.185000000001</v>
      </c>
      <c r="O23" s="4"/>
      <c r="P23" s="37"/>
      <c r="Q23" s="41"/>
      <c r="R23" s="15"/>
    </row>
    <row r="24" spans="1:18" s="5" customFormat="1" ht="11.25" customHeight="1" x14ac:dyDescent="0.2">
      <c r="A24" s="38" t="s">
        <v>14</v>
      </c>
      <c r="B24" s="15">
        <v>12</v>
      </c>
      <c r="C24" s="19">
        <v>19.742000000000001</v>
      </c>
      <c r="D24" s="14">
        <v>468</v>
      </c>
      <c r="E24" s="14">
        <v>630.1</v>
      </c>
      <c r="F24" s="15" t="s">
        <v>28</v>
      </c>
      <c r="G24" s="15" t="s">
        <v>28</v>
      </c>
      <c r="H24" s="14">
        <v>1758.143</v>
      </c>
      <c r="I24" s="14">
        <v>4649.72</v>
      </c>
      <c r="J24" s="14">
        <v>2614</v>
      </c>
      <c r="K24" s="14">
        <v>3677.4969999999998</v>
      </c>
      <c r="L24" s="14">
        <v>26067.987000000001</v>
      </c>
      <c r="M24" s="14">
        <v>8323.6209999999992</v>
      </c>
      <c r="N24" s="16">
        <v>43368.667000000001</v>
      </c>
      <c r="O24" s="4"/>
      <c r="P24" s="37"/>
      <c r="Q24" s="38"/>
      <c r="R24" s="15"/>
    </row>
    <row r="25" spans="1:18" s="5" customFormat="1" ht="11.25" customHeight="1" x14ac:dyDescent="0.2">
      <c r="A25" s="38" t="s">
        <v>15</v>
      </c>
      <c r="B25" s="15" t="s">
        <v>28</v>
      </c>
      <c r="C25" s="19" t="s">
        <v>28</v>
      </c>
      <c r="D25" s="15" t="s">
        <v>28</v>
      </c>
      <c r="E25" s="19" t="s">
        <v>28</v>
      </c>
      <c r="F25" s="15" t="s">
        <v>28</v>
      </c>
      <c r="G25" s="19" t="s">
        <v>28</v>
      </c>
      <c r="H25" s="15" t="s">
        <v>28</v>
      </c>
      <c r="I25" s="19">
        <v>0.71799999999999997</v>
      </c>
      <c r="J25" s="15" t="s">
        <v>28</v>
      </c>
      <c r="K25" s="19" t="s">
        <v>28</v>
      </c>
      <c r="L25" s="14">
        <v>23.863</v>
      </c>
      <c r="M25" s="14">
        <v>627.673</v>
      </c>
      <c r="N25" s="16">
        <v>653.25400000000002</v>
      </c>
      <c r="O25" s="4"/>
      <c r="P25" s="4"/>
      <c r="Q25" s="38"/>
      <c r="R25" s="15"/>
    </row>
    <row r="26" spans="1:18" s="48" customFormat="1" ht="11.25" customHeight="1" x14ac:dyDescent="0.2">
      <c r="A26" s="38" t="s">
        <v>47</v>
      </c>
      <c r="B26" s="15" t="s">
        <v>28</v>
      </c>
      <c r="C26" s="19" t="s">
        <v>28</v>
      </c>
      <c r="D26" s="14">
        <v>266</v>
      </c>
      <c r="E26" s="14">
        <v>1147.153</v>
      </c>
      <c r="F26" s="15" t="s">
        <v>28</v>
      </c>
      <c r="G26" s="19" t="s">
        <v>28</v>
      </c>
      <c r="H26" s="15" t="s">
        <v>28</v>
      </c>
      <c r="I26" s="19" t="s">
        <v>28</v>
      </c>
      <c r="J26" s="15" t="s">
        <v>28</v>
      </c>
      <c r="K26" s="19">
        <v>151.07499999999999</v>
      </c>
      <c r="L26" s="19" t="s">
        <v>28</v>
      </c>
      <c r="M26" s="19" t="s">
        <v>28</v>
      </c>
      <c r="N26" s="16">
        <v>1298.2280000000001</v>
      </c>
      <c r="O26" s="37"/>
      <c r="P26" s="37"/>
      <c r="Q26" s="46"/>
      <c r="R26" s="47"/>
    </row>
    <row r="27" spans="1:18" s="5" customFormat="1" ht="11.25" customHeight="1" x14ac:dyDescent="0.2">
      <c r="A27" s="38" t="s">
        <v>16</v>
      </c>
      <c r="B27" s="15" t="s">
        <v>28</v>
      </c>
      <c r="C27" s="15" t="s">
        <v>28</v>
      </c>
      <c r="D27" s="15" t="s">
        <v>28</v>
      </c>
      <c r="E27" s="15" t="s">
        <v>28</v>
      </c>
      <c r="F27" s="15">
        <v>13</v>
      </c>
      <c r="G27" s="15">
        <v>52.518000000000001</v>
      </c>
      <c r="H27" s="14">
        <v>2794.7020000000002</v>
      </c>
      <c r="I27" s="14">
        <v>7910.9949999999999</v>
      </c>
      <c r="J27" s="15">
        <v>23</v>
      </c>
      <c r="K27" s="15">
        <v>60.231999999999999</v>
      </c>
      <c r="L27" s="14">
        <v>701.96600000000001</v>
      </c>
      <c r="M27" s="14">
        <v>5478.9059999999999</v>
      </c>
      <c r="N27" s="16">
        <v>14204.617</v>
      </c>
      <c r="O27" s="8"/>
      <c r="P27" s="37"/>
      <c r="Q27" s="38"/>
      <c r="R27" s="15"/>
    </row>
    <row r="28" spans="1:18" s="5" customFormat="1" ht="11.25" customHeight="1" x14ac:dyDescent="0.2">
      <c r="A28" s="38" t="s">
        <v>17</v>
      </c>
      <c r="B28" s="15" t="s">
        <v>28</v>
      </c>
      <c r="C28" s="15" t="s">
        <v>28</v>
      </c>
      <c r="D28" s="15" t="s">
        <v>28</v>
      </c>
      <c r="E28" s="15" t="s">
        <v>28</v>
      </c>
      <c r="F28" s="15" t="s">
        <v>28</v>
      </c>
      <c r="G28" s="15" t="s">
        <v>28</v>
      </c>
      <c r="H28" s="14">
        <v>2016.9839999999999</v>
      </c>
      <c r="I28" s="14">
        <v>4353.4629999999997</v>
      </c>
      <c r="J28" s="15" t="s">
        <v>28</v>
      </c>
      <c r="K28" s="15" t="s">
        <v>28</v>
      </c>
      <c r="L28" s="15">
        <v>20.087</v>
      </c>
      <c r="M28" s="14">
        <v>102.29900000000001</v>
      </c>
      <c r="N28" s="16">
        <v>4474.8490000000002</v>
      </c>
      <c r="O28" s="4"/>
      <c r="P28" s="37"/>
      <c r="Q28" s="38"/>
      <c r="R28" s="15"/>
    </row>
    <row r="29" spans="1:18" s="5" customFormat="1" ht="11.25" customHeight="1" x14ac:dyDescent="0.2">
      <c r="A29" s="38" t="s">
        <v>18</v>
      </c>
      <c r="B29" s="15">
        <v>509</v>
      </c>
      <c r="C29" s="15">
        <v>574.79300000000001</v>
      </c>
      <c r="D29" s="14">
        <v>3816</v>
      </c>
      <c r="E29" s="14">
        <v>3454.7559999999999</v>
      </c>
      <c r="F29" s="15" t="s">
        <v>28</v>
      </c>
      <c r="G29" s="15" t="s">
        <v>28</v>
      </c>
      <c r="H29" s="15" t="s">
        <v>28</v>
      </c>
      <c r="I29" s="15" t="s">
        <v>28</v>
      </c>
      <c r="J29" s="15">
        <v>26</v>
      </c>
      <c r="K29" s="15">
        <v>21.311</v>
      </c>
      <c r="L29" s="15">
        <v>2.5459999999999998</v>
      </c>
      <c r="M29" s="14">
        <v>509.62799999999999</v>
      </c>
      <c r="N29" s="16">
        <v>4564.0339999999997</v>
      </c>
      <c r="O29" s="4"/>
      <c r="P29" s="37"/>
      <c r="Q29" s="38"/>
      <c r="R29" s="15"/>
    </row>
    <row r="30" spans="1:18" s="5" customFormat="1" ht="11.25" customHeight="1" x14ac:dyDescent="0.2">
      <c r="A30" s="38" t="s">
        <v>19</v>
      </c>
      <c r="B30" s="15" t="s">
        <v>28</v>
      </c>
      <c r="C30" s="15" t="s">
        <v>28</v>
      </c>
      <c r="D30" s="15" t="s">
        <v>28</v>
      </c>
      <c r="E30" s="15" t="s">
        <v>28</v>
      </c>
      <c r="F30" s="15" t="s">
        <v>28</v>
      </c>
      <c r="G30" s="15" t="s">
        <v>28</v>
      </c>
      <c r="H30" s="15" t="s">
        <v>28</v>
      </c>
      <c r="I30" s="15">
        <v>4.04</v>
      </c>
      <c r="J30" s="15" t="s">
        <v>28</v>
      </c>
      <c r="K30" s="15" t="s">
        <v>28</v>
      </c>
      <c r="L30" s="15">
        <v>121.104</v>
      </c>
      <c r="M30" s="14">
        <v>1277.2660000000001</v>
      </c>
      <c r="N30" s="16">
        <v>1402.41</v>
      </c>
      <c r="O30" s="4"/>
      <c r="P30" s="37"/>
      <c r="Q30" s="38"/>
      <c r="R30" s="15"/>
    </row>
    <row r="31" spans="1:18" s="5" customFormat="1" ht="11.25" customHeight="1" x14ac:dyDescent="0.2">
      <c r="A31" s="38" t="s">
        <v>43</v>
      </c>
      <c r="B31" s="15" t="s">
        <v>28</v>
      </c>
      <c r="C31" s="15" t="s">
        <v>28</v>
      </c>
      <c r="D31" s="15">
        <v>8</v>
      </c>
      <c r="E31" s="15">
        <v>4.984</v>
      </c>
      <c r="F31" s="15" t="s">
        <v>28</v>
      </c>
      <c r="G31" s="15" t="s">
        <v>28</v>
      </c>
      <c r="H31" s="15" t="s">
        <v>28</v>
      </c>
      <c r="I31" s="15" t="s">
        <v>28</v>
      </c>
      <c r="J31" s="15">
        <v>25</v>
      </c>
      <c r="K31" s="15">
        <v>47.136000000000003</v>
      </c>
      <c r="L31" s="15">
        <v>187.80500000000001</v>
      </c>
      <c r="M31" s="14">
        <v>272.483</v>
      </c>
      <c r="N31" s="16">
        <v>512.40800000000002</v>
      </c>
      <c r="O31" s="4"/>
      <c r="P31" s="37"/>
      <c r="Q31" s="38"/>
      <c r="R31" s="15"/>
    </row>
    <row r="32" spans="1:18" s="5" customFormat="1" ht="11.25" customHeight="1" x14ac:dyDescent="0.2">
      <c r="A32" s="38" t="s">
        <v>20</v>
      </c>
      <c r="B32" s="15" t="s">
        <v>28</v>
      </c>
      <c r="C32" s="15" t="s">
        <v>28</v>
      </c>
      <c r="D32" s="15" t="s">
        <v>28</v>
      </c>
      <c r="E32" s="15" t="s">
        <v>28</v>
      </c>
      <c r="F32" s="15" t="s">
        <v>28</v>
      </c>
      <c r="G32" s="15" t="s">
        <v>28</v>
      </c>
      <c r="H32" s="15" t="s">
        <v>28</v>
      </c>
      <c r="I32" s="15" t="s">
        <v>28</v>
      </c>
      <c r="J32" s="15" t="s">
        <v>28</v>
      </c>
      <c r="K32" s="15" t="s">
        <v>28</v>
      </c>
      <c r="L32" s="15">
        <v>1.6910000000000001</v>
      </c>
      <c r="M32" s="14">
        <v>17393.138999999999</v>
      </c>
      <c r="N32" s="16">
        <v>17394.830000000002</v>
      </c>
      <c r="O32" s="4"/>
      <c r="P32" s="37"/>
      <c r="Q32" s="38"/>
      <c r="R32" s="15"/>
    </row>
    <row r="33" spans="1:18" s="5" customFormat="1" ht="11.25" customHeight="1" x14ac:dyDescent="0.2">
      <c r="A33" s="38" t="s">
        <v>21</v>
      </c>
      <c r="B33" s="15" t="s">
        <v>28</v>
      </c>
      <c r="C33" s="15" t="s">
        <v>28</v>
      </c>
      <c r="D33" s="14">
        <v>37</v>
      </c>
      <c r="E33" s="14">
        <v>57.603000000000002</v>
      </c>
      <c r="F33" s="15" t="s">
        <v>28</v>
      </c>
      <c r="G33" s="15" t="s">
        <v>28</v>
      </c>
      <c r="H33" s="14">
        <v>2685.8470000000002</v>
      </c>
      <c r="I33" s="14">
        <v>17975.564999999999</v>
      </c>
      <c r="J33" s="14">
        <v>340</v>
      </c>
      <c r="K33" s="14">
        <v>349.80900000000003</v>
      </c>
      <c r="L33" s="14">
        <v>122.167</v>
      </c>
      <c r="M33" s="14">
        <v>2386.4349999999999</v>
      </c>
      <c r="N33" s="16">
        <v>20891.578999999998</v>
      </c>
      <c r="P33" s="37"/>
      <c r="Q33" s="38"/>
      <c r="R33" s="15"/>
    </row>
    <row r="34" spans="1:18" s="5" customFormat="1" ht="11.25" customHeight="1" x14ac:dyDescent="0.2">
      <c r="A34" s="38" t="s">
        <v>44</v>
      </c>
      <c r="B34" s="15" t="s">
        <v>28</v>
      </c>
      <c r="C34" s="15" t="s">
        <v>28</v>
      </c>
      <c r="D34" s="15" t="s">
        <v>28</v>
      </c>
      <c r="E34" s="15" t="s">
        <v>28</v>
      </c>
      <c r="F34" s="15" t="s">
        <v>28</v>
      </c>
      <c r="G34" s="15" t="s">
        <v>28</v>
      </c>
      <c r="H34" s="15" t="s">
        <v>28</v>
      </c>
      <c r="I34" s="15" t="s">
        <v>28</v>
      </c>
      <c r="J34" s="15" t="s">
        <v>28</v>
      </c>
      <c r="K34" s="15" t="s">
        <v>28</v>
      </c>
      <c r="L34" s="15" t="s">
        <v>28</v>
      </c>
      <c r="M34" s="14">
        <v>955.58299999999997</v>
      </c>
      <c r="N34" s="16">
        <v>955.58299999999997</v>
      </c>
      <c r="P34" s="37"/>
      <c r="Q34" s="38"/>
      <c r="R34" s="15"/>
    </row>
    <row r="35" spans="1:18" s="5" customFormat="1" ht="11.25" customHeight="1" x14ac:dyDescent="0.2">
      <c r="A35" s="38" t="s">
        <v>22</v>
      </c>
      <c r="B35" s="15">
        <v>54</v>
      </c>
      <c r="C35" s="15">
        <v>13.906000000000001</v>
      </c>
      <c r="D35" s="15">
        <v>23</v>
      </c>
      <c r="E35" s="15">
        <v>38.512</v>
      </c>
      <c r="F35" s="15" t="s">
        <v>28</v>
      </c>
      <c r="G35" s="15" t="s">
        <v>28</v>
      </c>
      <c r="H35" s="15">
        <v>5614.4350000000004</v>
      </c>
      <c r="I35" s="15">
        <v>9091.2009999999991</v>
      </c>
      <c r="J35" s="15">
        <v>61</v>
      </c>
      <c r="K35" s="15">
        <v>197.45599999999999</v>
      </c>
      <c r="L35" s="15">
        <v>396.65100000000001</v>
      </c>
      <c r="M35" s="15">
        <v>785.88900000000001</v>
      </c>
      <c r="N35" s="16">
        <v>10523.615</v>
      </c>
      <c r="O35" s="4"/>
      <c r="P35" s="37"/>
      <c r="Q35" s="38"/>
      <c r="R35" s="15"/>
    </row>
    <row r="36" spans="1:18" s="30" customFormat="1" ht="11.25" customHeight="1" x14ac:dyDescent="0.2">
      <c r="A36" s="40" t="s">
        <v>23</v>
      </c>
      <c r="B36" s="17" t="s">
        <v>28</v>
      </c>
      <c r="C36" s="17" t="s">
        <v>28</v>
      </c>
      <c r="D36" s="17" t="s">
        <v>28</v>
      </c>
      <c r="E36" s="17" t="s">
        <v>28</v>
      </c>
      <c r="F36" s="17" t="s">
        <v>28</v>
      </c>
      <c r="G36" s="17" t="s">
        <v>28</v>
      </c>
      <c r="H36" s="17">
        <v>664.88800000000003</v>
      </c>
      <c r="I36" s="17">
        <v>2613.59</v>
      </c>
      <c r="J36" s="17">
        <v>4</v>
      </c>
      <c r="K36" s="17">
        <v>7.4109999999999996</v>
      </c>
      <c r="L36" s="17">
        <v>345.03399999999999</v>
      </c>
      <c r="M36" s="17">
        <v>1768.133</v>
      </c>
      <c r="N36" s="16">
        <v>4734.1679999999997</v>
      </c>
      <c r="O36" s="39"/>
      <c r="P36" s="39"/>
      <c r="Q36" s="40"/>
      <c r="R36" s="17"/>
    </row>
    <row r="37" spans="1:18" s="5" customFormat="1" ht="11.25" customHeight="1" x14ac:dyDescent="0.2">
      <c r="A37" s="38" t="s">
        <v>24</v>
      </c>
      <c r="B37" s="15" t="s">
        <v>28</v>
      </c>
      <c r="C37" s="15" t="s">
        <v>28</v>
      </c>
      <c r="D37" s="15">
        <v>5</v>
      </c>
      <c r="E37" s="15">
        <v>7.6879999999999997</v>
      </c>
      <c r="F37" s="15" t="s">
        <v>28</v>
      </c>
      <c r="G37" s="15" t="s">
        <v>28</v>
      </c>
      <c r="H37" s="14">
        <v>9237.6470000000008</v>
      </c>
      <c r="I37" s="14">
        <v>18310.024000000001</v>
      </c>
      <c r="J37" s="15" t="s">
        <v>28</v>
      </c>
      <c r="K37" s="15">
        <v>2057.6930000000002</v>
      </c>
      <c r="L37" s="15">
        <v>30.547000000000001</v>
      </c>
      <c r="M37" s="14">
        <v>3999.5250000000001</v>
      </c>
      <c r="N37" s="16">
        <v>24407.476999999999</v>
      </c>
      <c r="O37" s="4"/>
      <c r="P37" s="37"/>
      <c r="Q37" s="38"/>
      <c r="R37" s="15"/>
    </row>
    <row r="38" spans="1:18" s="5" customFormat="1" ht="11.25" customHeight="1" x14ac:dyDescent="0.2">
      <c r="A38" s="38" t="s">
        <v>25</v>
      </c>
      <c r="B38" s="15" t="s">
        <v>28</v>
      </c>
      <c r="C38" s="15" t="s">
        <v>28</v>
      </c>
      <c r="D38" s="15" t="s">
        <v>28</v>
      </c>
      <c r="E38" s="15" t="s">
        <v>28</v>
      </c>
      <c r="F38" s="15" t="s">
        <v>28</v>
      </c>
      <c r="G38" s="15" t="s">
        <v>28</v>
      </c>
      <c r="H38" s="14">
        <v>54.48</v>
      </c>
      <c r="I38" s="14">
        <v>324.613</v>
      </c>
      <c r="J38" s="15">
        <v>1</v>
      </c>
      <c r="K38" s="15">
        <v>1.575</v>
      </c>
      <c r="L38" s="15">
        <v>68.8</v>
      </c>
      <c r="M38" s="14">
        <v>1822.5239999999999</v>
      </c>
      <c r="N38" s="16">
        <v>2218.5119999999997</v>
      </c>
      <c r="O38" s="4"/>
      <c r="P38" s="37"/>
      <c r="Q38" s="38"/>
      <c r="R38" s="15"/>
    </row>
    <row r="39" spans="1:18" s="5" customFormat="1" ht="11.25" customHeight="1" x14ac:dyDescent="0.2">
      <c r="A39" s="41" t="s">
        <v>31</v>
      </c>
      <c r="B39" s="15" t="s">
        <v>28</v>
      </c>
      <c r="C39" s="15" t="s">
        <v>28</v>
      </c>
      <c r="D39" s="15" t="s">
        <v>28</v>
      </c>
      <c r="E39" s="15" t="s">
        <v>28</v>
      </c>
      <c r="F39" s="15" t="s">
        <v>28</v>
      </c>
      <c r="G39" s="15" t="s">
        <v>28</v>
      </c>
      <c r="H39" s="14">
        <v>132.78899999999999</v>
      </c>
      <c r="I39" s="14">
        <v>898.69200000000001</v>
      </c>
      <c r="J39" s="14">
        <v>27</v>
      </c>
      <c r="K39" s="14">
        <v>55.997999999999998</v>
      </c>
      <c r="L39" s="14">
        <v>1208.3440000000001</v>
      </c>
      <c r="M39" s="14">
        <v>2901.056</v>
      </c>
      <c r="N39" s="16">
        <v>5064.09</v>
      </c>
      <c r="O39" s="4"/>
      <c r="P39" s="37"/>
      <c r="Q39" s="41"/>
      <c r="R39" s="15"/>
    </row>
    <row r="40" spans="1:18" s="5" customFormat="1" ht="11.25" customHeight="1" x14ac:dyDescent="0.2">
      <c r="A40" s="38" t="s">
        <v>26</v>
      </c>
      <c r="B40" s="15" t="s">
        <v>28</v>
      </c>
      <c r="C40" s="15" t="s">
        <v>28</v>
      </c>
      <c r="D40" s="15">
        <v>1</v>
      </c>
      <c r="E40" s="15">
        <v>1.7190000000000001</v>
      </c>
      <c r="F40" s="15" t="s">
        <v>28</v>
      </c>
      <c r="G40" s="15" t="s">
        <v>28</v>
      </c>
      <c r="H40" s="15">
        <v>9300.5400000000009</v>
      </c>
      <c r="I40" s="15">
        <v>12134.32</v>
      </c>
      <c r="J40" s="14">
        <v>23</v>
      </c>
      <c r="K40" s="14">
        <v>233.23099999999999</v>
      </c>
      <c r="L40" s="14">
        <v>5719.8339999999998</v>
      </c>
      <c r="M40" s="14">
        <v>4634.2079999999996</v>
      </c>
      <c r="N40" s="16">
        <v>22723.312000000002</v>
      </c>
      <c r="O40" s="42"/>
      <c r="P40" s="37"/>
      <c r="Q40" s="38"/>
      <c r="R40" s="15"/>
    </row>
    <row r="41" spans="1:18" s="5" customFormat="1" ht="11.25" customHeight="1" x14ac:dyDescent="0.2">
      <c r="A41" s="38" t="s">
        <v>45</v>
      </c>
      <c r="B41" s="15" t="s">
        <v>28</v>
      </c>
      <c r="C41" s="15" t="s">
        <v>28</v>
      </c>
      <c r="D41" s="21">
        <v>1748</v>
      </c>
      <c r="E41" s="14">
        <v>3627.94</v>
      </c>
      <c r="F41" s="14">
        <v>7640</v>
      </c>
      <c r="G41" s="14">
        <v>7468.4759999999997</v>
      </c>
      <c r="H41" s="14">
        <v>15935.404</v>
      </c>
      <c r="I41" s="14">
        <v>39135.383999999998</v>
      </c>
      <c r="J41" s="14">
        <v>1183</v>
      </c>
      <c r="K41" s="14">
        <v>1675.354</v>
      </c>
      <c r="L41" s="14">
        <v>1788.317</v>
      </c>
      <c r="M41" s="14">
        <v>28566.084999999999</v>
      </c>
      <c r="N41" s="16">
        <v>82259.555999999997</v>
      </c>
      <c r="O41" s="30"/>
      <c r="P41" s="37"/>
      <c r="Q41" s="41"/>
      <c r="R41" s="15"/>
    </row>
    <row r="42" spans="1:18" s="30" customFormat="1" ht="11.25" customHeight="1" x14ac:dyDescent="0.2">
      <c r="A42" s="40" t="s">
        <v>46</v>
      </c>
      <c r="B42" s="17" t="s">
        <v>28</v>
      </c>
      <c r="C42" s="17" t="s">
        <v>28</v>
      </c>
      <c r="D42" s="17" t="s">
        <v>28</v>
      </c>
      <c r="E42" s="17" t="s">
        <v>28</v>
      </c>
      <c r="F42" s="17" t="s">
        <v>28</v>
      </c>
      <c r="G42" s="17" t="s">
        <v>28</v>
      </c>
      <c r="H42" s="17">
        <v>0.73099999999999998</v>
      </c>
      <c r="I42" s="17">
        <v>1.42</v>
      </c>
      <c r="J42" s="17" t="s">
        <v>28</v>
      </c>
      <c r="K42" s="17" t="s">
        <v>28</v>
      </c>
      <c r="L42" s="18">
        <v>13242.031999999999</v>
      </c>
      <c r="M42" s="18">
        <v>853.95399999999995</v>
      </c>
      <c r="N42" s="20">
        <v>14097.405999999999</v>
      </c>
      <c r="O42" s="8"/>
      <c r="P42" s="39"/>
      <c r="Q42" s="40"/>
      <c r="R42" s="17"/>
    </row>
    <row r="43" spans="1:18" s="5" customFormat="1" ht="11.25" customHeight="1" x14ac:dyDescent="0.2">
      <c r="A43" s="4" t="s">
        <v>75</v>
      </c>
      <c r="B43" s="14">
        <v>386</v>
      </c>
      <c r="C43" s="14">
        <v>417.20399999999972</v>
      </c>
      <c r="D43" s="14">
        <v>865</v>
      </c>
      <c r="E43" s="14">
        <v>1249.7129999999961</v>
      </c>
      <c r="F43" s="15" t="s">
        <v>28</v>
      </c>
      <c r="G43" s="15" t="s">
        <v>28</v>
      </c>
      <c r="H43" s="14">
        <v>97.123000000137836</v>
      </c>
      <c r="I43" s="14">
        <v>286.18300000031013</v>
      </c>
      <c r="J43" s="14">
        <v>43</v>
      </c>
      <c r="K43" s="14">
        <v>469.78200000000288</v>
      </c>
      <c r="L43" s="14">
        <v>322.45699999999488</v>
      </c>
      <c r="M43" s="14">
        <v>1167.8149999999441</v>
      </c>
      <c r="N43" s="16">
        <v>3913.1540000002478</v>
      </c>
      <c r="O43" s="8"/>
      <c r="P43" s="37"/>
      <c r="Q43" s="41"/>
      <c r="R43" s="14"/>
    </row>
    <row r="44" spans="1:18" s="8" customFormat="1" ht="11.25" customHeight="1" x14ac:dyDescent="0.15">
      <c r="A44" s="84" t="s">
        <v>27</v>
      </c>
      <c r="B44" s="22">
        <v>5980</v>
      </c>
      <c r="C44" s="49">
        <v>3461.1080000000002</v>
      </c>
      <c r="D44" s="22">
        <v>33994</v>
      </c>
      <c r="E44" s="49">
        <v>45990.741999999998</v>
      </c>
      <c r="F44" s="22">
        <v>12648</v>
      </c>
      <c r="G44" s="49">
        <v>12832.712</v>
      </c>
      <c r="H44" s="22">
        <v>379827.25699999998</v>
      </c>
      <c r="I44" s="49">
        <v>669936.01800000004</v>
      </c>
      <c r="J44" s="22">
        <v>18572</v>
      </c>
      <c r="K44" s="49">
        <v>27510.651999999998</v>
      </c>
      <c r="L44" s="49">
        <v>111063.117</v>
      </c>
      <c r="M44" s="49">
        <v>352014.05200000003</v>
      </c>
      <c r="N44" s="43">
        <v>1222809.4010000001</v>
      </c>
      <c r="O44" s="45"/>
      <c r="P44" s="32"/>
      <c r="Q44" s="24"/>
      <c r="R44" s="44"/>
    </row>
    <row r="45" spans="1:18" s="8" customFormat="1" ht="11.25" customHeight="1" x14ac:dyDescent="0.15">
      <c r="A45" s="24"/>
      <c r="B45" s="16"/>
      <c r="C45" s="44"/>
      <c r="D45" s="16"/>
      <c r="E45" s="44"/>
      <c r="F45" s="16"/>
      <c r="G45" s="44"/>
      <c r="H45" s="16"/>
      <c r="I45" s="44"/>
      <c r="J45" s="16"/>
      <c r="K45" s="44"/>
      <c r="L45" s="44"/>
      <c r="M45" s="44"/>
      <c r="N45" s="35"/>
      <c r="O45" s="45"/>
      <c r="P45" s="32"/>
      <c r="Q45" s="24"/>
      <c r="R45" s="44"/>
    </row>
    <row r="46" spans="1:18" s="5" customFormat="1" ht="12.75" customHeight="1" x14ac:dyDescent="0.2">
      <c r="A46" s="79" t="s">
        <v>48</v>
      </c>
    </row>
    <row r="47" spans="1:18" s="5" customFormat="1" ht="12.75" customHeight="1" x14ac:dyDescent="0.2">
      <c r="A47" s="80" t="s">
        <v>49</v>
      </c>
    </row>
    <row r="48" spans="1:18" s="5" customFormat="1" ht="12.75" customHeight="1" x14ac:dyDescent="0.2">
      <c r="A48" s="80"/>
    </row>
    <row r="49" spans="1:1" s="5" customFormat="1" ht="12.75" customHeight="1" x14ac:dyDescent="0.2">
      <c r="A49" s="3" t="s">
        <v>37</v>
      </c>
    </row>
    <row r="50" spans="1:1" s="5" customFormat="1" ht="12.75" customHeight="1" x14ac:dyDescent="0.2">
      <c r="A50" s="4" t="s">
        <v>54</v>
      </c>
    </row>
    <row r="51" spans="1:1" s="5" customFormat="1" ht="12.75" customHeight="1" x14ac:dyDescent="0.2">
      <c r="A51" s="4" t="s">
        <v>55</v>
      </c>
    </row>
    <row r="52" spans="1:1" s="5" customFormat="1" ht="12.75" customHeight="1" x14ac:dyDescent="0.2">
      <c r="A52" s="4" t="s">
        <v>56</v>
      </c>
    </row>
    <row r="53" spans="1:1" s="5" customFormat="1" ht="12.75" customHeight="1" x14ac:dyDescent="0.2">
      <c r="A53" s="4" t="s">
        <v>67</v>
      </c>
    </row>
    <row r="54" spans="1:1" s="5" customFormat="1" ht="12.75" customHeight="1" x14ac:dyDescent="0.2">
      <c r="A54" s="4" t="s">
        <v>68</v>
      </c>
    </row>
    <row r="55" spans="1:1" s="5" customFormat="1" ht="12.75" customHeight="1" x14ac:dyDescent="0.2">
      <c r="A55" s="4" t="s">
        <v>72</v>
      </c>
    </row>
    <row r="56" spans="1:1" s="5" customFormat="1" ht="12.75" customHeight="1" x14ac:dyDescent="0.2">
      <c r="A56" s="4" t="s">
        <v>73</v>
      </c>
    </row>
    <row r="57" spans="1:1" s="5" customFormat="1" ht="12.75" customHeight="1" x14ac:dyDescent="0.2">
      <c r="A57" s="4" t="s">
        <v>74</v>
      </c>
    </row>
    <row r="58" spans="1:1" ht="12.75" customHeight="1" x14ac:dyDescent="0.2"/>
    <row r="59" spans="1:1" ht="12.75" customHeight="1" x14ac:dyDescent="0.2">
      <c r="A59" s="3" t="s">
        <v>50</v>
      </c>
    </row>
    <row r="60" spans="1:1" ht="12.75" customHeight="1" x14ac:dyDescent="0.2">
      <c r="A60" s="81" t="s">
        <v>51</v>
      </c>
    </row>
    <row r="61" spans="1:1" ht="11.25" customHeight="1" x14ac:dyDescent="0.2"/>
    <row r="62" spans="1:1" ht="11.25" customHeight="1" x14ac:dyDescent="0.2"/>
    <row r="63" spans="1:1" ht="11.25" customHeight="1" x14ac:dyDescent="0.2"/>
    <row r="64" spans="1:1" ht="11.25" customHeight="1" x14ac:dyDescent="0.2"/>
    <row r="65" ht="11.25" customHeight="1" x14ac:dyDescent="0.2"/>
    <row r="66" ht="11.25" customHeight="1" x14ac:dyDescent="0.2"/>
    <row r="67" ht="11.25" customHeight="1" x14ac:dyDescent="0.2"/>
    <row r="68" ht="11.25" customHeight="1" x14ac:dyDescent="0.2"/>
    <row r="69" ht="11.25" customHeight="1" x14ac:dyDescent="0.2"/>
  </sheetData>
  <mergeCells count="6">
    <mergeCell ref="H3:I3"/>
    <mergeCell ref="J3:K3"/>
    <mergeCell ref="A3:A5"/>
    <mergeCell ref="B3:C3"/>
    <mergeCell ref="D3:E3"/>
    <mergeCell ref="F3:G3"/>
  </mergeCells>
  <phoneticPr fontId="2" type="noConversion"/>
  <pageMargins left="0.75" right="0.75" top="1" bottom="1" header="0.5" footer="0.5"/>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S69"/>
  <sheetViews>
    <sheetView workbookViewId="0"/>
  </sheetViews>
  <sheetFormatPr defaultRowHeight="12.75" x14ac:dyDescent="0.2"/>
  <cols>
    <col min="1" max="1" width="20" style="82" customWidth="1"/>
    <col min="2" max="11" width="8.7109375" style="1" customWidth="1"/>
    <col min="12" max="12" width="12.28515625" style="1" customWidth="1"/>
    <col min="13" max="14" width="11.7109375" style="1" customWidth="1"/>
    <col min="15" max="16384" width="9.140625" style="1"/>
  </cols>
  <sheetData>
    <row r="1" spans="1:19" s="2" customFormat="1" ht="17.25" customHeight="1" x14ac:dyDescent="0.25">
      <c r="A1" s="76" t="s">
        <v>80</v>
      </c>
    </row>
    <row r="2" spans="1:19" s="2" customFormat="1" ht="11.25" customHeight="1" x14ac:dyDescent="0.25">
      <c r="A2" s="76"/>
    </row>
    <row r="3" spans="1:19" s="77" customFormat="1" ht="25.5" customHeight="1" x14ac:dyDescent="0.2">
      <c r="A3" s="175" t="s">
        <v>38</v>
      </c>
      <c r="B3" s="170" t="s">
        <v>36</v>
      </c>
      <c r="C3" s="170"/>
      <c r="D3" s="173" t="s">
        <v>65</v>
      </c>
      <c r="E3" s="173"/>
      <c r="F3" s="170" t="s">
        <v>35</v>
      </c>
      <c r="G3" s="170"/>
      <c r="H3" s="173" t="s">
        <v>66</v>
      </c>
      <c r="I3" s="173"/>
      <c r="J3" s="170" t="s">
        <v>70</v>
      </c>
      <c r="K3" s="170"/>
      <c r="L3" s="90" t="s">
        <v>53</v>
      </c>
      <c r="M3" s="90" t="s">
        <v>71</v>
      </c>
      <c r="N3" s="90" t="s">
        <v>34</v>
      </c>
    </row>
    <row r="4" spans="1:19" s="77" customFormat="1" ht="10.5" x14ac:dyDescent="0.2">
      <c r="A4" s="175"/>
      <c r="B4" s="89" t="s">
        <v>59</v>
      </c>
      <c r="C4" s="89" t="s">
        <v>57</v>
      </c>
      <c r="D4" s="90" t="s">
        <v>69</v>
      </c>
      <c r="E4" s="90" t="s">
        <v>57</v>
      </c>
      <c r="F4" s="89" t="s">
        <v>58</v>
      </c>
      <c r="G4" s="89" t="s">
        <v>57</v>
      </c>
      <c r="H4" s="90" t="s">
        <v>58</v>
      </c>
      <c r="I4" s="90" t="s">
        <v>57</v>
      </c>
      <c r="J4" s="89" t="s">
        <v>58</v>
      </c>
      <c r="K4" s="89" t="s">
        <v>57</v>
      </c>
      <c r="L4" s="90" t="s">
        <v>57</v>
      </c>
      <c r="M4" s="90" t="s">
        <v>57</v>
      </c>
      <c r="N4" s="90" t="s">
        <v>57</v>
      </c>
    </row>
    <row r="5" spans="1:19" s="31" customFormat="1" ht="12.75" customHeight="1" x14ac:dyDescent="0.2">
      <c r="A5" s="176"/>
      <c r="B5" s="88" t="s">
        <v>60</v>
      </c>
      <c r="C5" s="88" t="s">
        <v>61</v>
      </c>
      <c r="D5" s="88" t="s">
        <v>62</v>
      </c>
      <c r="E5" s="88" t="s">
        <v>61</v>
      </c>
      <c r="F5" s="88" t="s">
        <v>63</v>
      </c>
      <c r="G5" s="88" t="s">
        <v>61</v>
      </c>
      <c r="H5" s="88" t="s">
        <v>63</v>
      </c>
      <c r="I5" s="88" t="s">
        <v>61</v>
      </c>
      <c r="J5" s="88" t="s">
        <v>64</v>
      </c>
      <c r="K5" s="88" t="s">
        <v>61</v>
      </c>
      <c r="L5" s="88" t="s">
        <v>61</v>
      </c>
      <c r="M5" s="88" t="s">
        <v>61</v>
      </c>
      <c r="N5" s="88" t="s">
        <v>61</v>
      </c>
    </row>
    <row r="6" spans="1:19" s="5" customFormat="1" ht="11.25" customHeight="1" x14ac:dyDescent="0.2">
      <c r="A6" s="38" t="s">
        <v>0</v>
      </c>
      <c r="B6" s="23">
        <v>4518</v>
      </c>
      <c r="C6" s="23">
        <v>2901.62</v>
      </c>
      <c r="D6" s="23">
        <v>7475</v>
      </c>
      <c r="E6" s="23">
        <v>6717.2359999999999</v>
      </c>
      <c r="F6" s="23">
        <v>752</v>
      </c>
      <c r="G6" s="23">
        <v>1139.6890000000001</v>
      </c>
      <c r="H6" s="23">
        <v>172505.29500000001</v>
      </c>
      <c r="I6" s="23">
        <v>231432.65299999999</v>
      </c>
      <c r="J6" s="23">
        <v>9142</v>
      </c>
      <c r="K6" s="23">
        <v>11884.713</v>
      </c>
      <c r="L6" s="23">
        <v>14703</v>
      </c>
      <c r="M6" s="23">
        <v>195441.56099999999</v>
      </c>
      <c r="N6" s="50">
        <v>464222.47199999995</v>
      </c>
      <c r="O6" s="59"/>
      <c r="P6" s="25"/>
      <c r="Q6" s="29"/>
      <c r="R6" s="28"/>
      <c r="S6" s="27"/>
    </row>
    <row r="7" spans="1:19" s="5" customFormat="1" ht="11.25" customHeight="1" x14ac:dyDescent="0.2">
      <c r="A7" s="38" t="s">
        <v>1</v>
      </c>
      <c r="B7" s="23" t="s">
        <v>28</v>
      </c>
      <c r="C7" s="23" t="s">
        <v>28</v>
      </c>
      <c r="D7" s="23" t="s">
        <v>28</v>
      </c>
      <c r="E7" s="23" t="s">
        <v>28</v>
      </c>
      <c r="F7" s="23" t="s">
        <v>28</v>
      </c>
      <c r="G7" s="23" t="s">
        <v>28</v>
      </c>
      <c r="H7" s="23">
        <v>1748.4870000000001</v>
      </c>
      <c r="I7" s="23">
        <v>4731.7700000000004</v>
      </c>
      <c r="J7" s="23">
        <v>3</v>
      </c>
      <c r="K7" s="23">
        <v>10.606999999999999</v>
      </c>
      <c r="L7" s="23">
        <v>11.766999999999999</v>
      </c>
      <c r="M7" s="23">
        <v>642.88199999999995</v>
      </c>
      <c r="N7" s="50">
        <v>5398.0260000000007</v>
      </c>
      <c r="O7" s="1"/>
      <c r="P7" s="25"/>
      <c r="Q7" s="29"/>
      <c r="R7" s="60"/>
      <c r="S7" s="61"/>
    </row>
    <row r="8" spans="1:19" s="5" customFormat="1" ht="11.25" customHeight="1" x14ac:dyDescent="0.2">
      <c r="A8" s="38" t="s">
        <v>2</v>
      </c>
      <c r="B8" s="23" t="s">
        <v>28</v>
      </c>
      <c r="C8" s="23"/>
      <c r="D8" s="23" t="s">
        <v>28</v>
      </c>
      <c r="E8" s="23" t="s">
        <v>28</v>
      </c>
      <c r="F8" s="23" t="s">
        <v>28</v>
      </c>
      <c r="G8" s="23" t="s">
        <v>28</v>
      </c>
      <c r="H8" s="23">
        <v>5665.509</v>
      </c>
      <c r="I8" s="23">
        <v>14212.199000000001</v>
      </c>
      <c r="J8" s="23">
        <v>27</v>
      </c>
      <c r="K8" s="23">
        <v>14.111000000000001</v>
      </c>
      <c r="L8" s="23">
        <v>230.81899999999999</v>
      </c>
      <c r="M8" s="23">
        <v>3505.848</v>
      </c>
      <c r="N8" s="50">
        <v>17962.976999999999</v>
      </c>
      <c r="O8" s="10"/>
      <c r="P8" s="25"/>
      <c r="Q8" s="29"/>
      <c r="R8" s="60"/>
      <c r="S8" s="61"/>
    </row>
    <row r="9" spans="1:19" s="5" customFormat="1" ht="11.25" customHeight="1" x14ac:dyDescent="0.2">
      <c r="A9" s="38" t="s">
        <v>3</v>
      </c>
      <c r="B9" s="23" t="s">
        <v>28</v>
      </c>
      <c r="C9" s="23" t="s">
        <v>28</v>
      </c>
      <c r="D9" s="23">
        <v>226</v>
      </c>
      <c r="E9" s="23">
        <v>331.33100000000002</v>
      </c>
      <c r="F9" s="23" t="s">
        <v>28</v>
      </c>
      <c r="G9" s="23" t="s">
        <v>28</v>
      </c>
      <c r="H9" s="23" t="s">
        <v>28</v>
      </c>
      <c r="I9" s="23" t="s">
        <v>28</v>
      </c>
      <c r="J9" s="23">
        <v>1</v>
      </c>
      <c r="K9" s="23">
        <v>6.4820000000000002</v>
      </c>
      <c r="L9" s="23">
        <v>94.215000000000003</v>
      </c>
      <c r="M9" s="23">
        <v>1844.1279999999999</v>
      </c>
      <c r="N9" s="50">
        <v>2275.1559999999999</v>
      </c>
      <c r="O9" s="10"/>
      <c r="P9" s="25"/>
      <c r="Q9" s="29"/>
      <c r="R9" s="60"/>
      <c r="S9" s="61"/>
    </row>
    <row r="10" spans="1:19" s="30" customFormat="1" ht="11.25" customHeight="1" x14ac:dyDescent="0.2">
      <c r="A10" s="40" t="s">
        <v>29</v>
      </c>
      <c r="B10" s="51" t="s">
        <v>28</v>
      </c>
      <c r="C10" s="51" t="s">
        <v>28</v>
      </c>
      <c r="D10" s="51">
        <v>31</v>
      </c>
      <c r="E10" s="51">
        <v>32.875</v>
      </c>
      <c r="F10" s="51" t="s">
        <v>28</v>
      </c>
      <c r="G10" s="51" t="s">
        <v>28</v>
      </c>
      <c r="H10" s="51">
        <v>2596.759</v>
      </c>
      <c r="I10" s="51">
        <v>12520.696</v>
      </c>
      <c r="J10" s="51">
        <v>60</v>
      </c>
      <c r="K10" s="51">
        <v>117.91200000000001</v>
      </c>
      <c r="L10" s="51">
        <v>615.21</v>
      </c>
      <c r="M10" s="51">
        <v>5955.5950000000003</v>
      </c>
      <c r="N10" s="50">
        <v>19243.288</v>
      </c>
      <c r="O10" s="62"/>
      <c r="P10" s="62"/>
      <c r="Q10" s="63"/>
      <c r="R10" s="64"/>
      <c r="S10" s="64"/>
    </row>
    <row r="11" spans="1:19" s="5" customFormat="1" ht="11.25" customHeight="1" x14ac:dyDescent="0.2">
      <c r="A11" s="38" t="s">
        <v>4</v>
      </c>
      <c r="B11" s="23">
        <v>26</v>
      </c>
      <c r="C11" s="23">
        <v>73.67</v>
      </c>
      <c r="D11" s="23">
        <v>13251</v>
      </c>
      <c r="E11" s="23">
        <v>25153.25</v>
      </c>
      <c r="F11" s="23">
        <v>16</v>
      </c>
      <c r="G11" s="23">
        <v>38.875</v>
      </c>
      <c r="H11" s="23">
        <v>1001.1079999999999</v>
      </c>
      <c r="I11" s="23">
        <v>2538.2159999999999</v>
      </c>
      <c r="J11" s="23">
        <v>236</v>
      </c>
      <c r="K11" s="23">
        <v>1239.2850000000001</v>
      </c>
      <c r="L11" s="23">
        <v>237.595</v>
      </c>
      <c r="M11" s="23">
        <v>3813.8310000000001</v>
      </c>
      <c r="N11" s="50">
        <v>33094.721999999994</v>
      </c>
      <c r="O11" s="10"/>
      <c r="P11" s="25"/>
      <c r="Q11" s="29"/>
      <c r="R11" s="60"/>
      <c r="S11" s="61"/>
    </row>
    <row r="12" spans="1:19" s="30" customFormat="1" ht="11.25" customHeight="1" x14ac:dyDescent="0.2">
      <c r="A12" s="40" t="s">
        <v>40</v>
      </c>
      <c r="B12" s="51" t="s">
        <v>28</v>
      </c>
      <c r="C12" s="51" t="s">
        <v>28</v>
      </c>
      <c r="D12" s="51">
        <v>81</v>
      </c>
      <c r="E12" s="51">
        <v>101.20099999999999</v>
      </c>
      <c r="F12" s="51" t="s">
        <v>28</v>
      </c>
      <c r="G12" s="51" t="s">
        <v>28</v>
      </c>
      <c r="H12" s="51">
        <v>1493.124</v>
      </c>
      <c r="I12" s="51">
        <v>3469.1190000000001</v>
      </c>
      <c r="J12" s="23" t="s">
        <v>28</v>
      </c>
      <c r="K12" s="51">
        <v>22.623000000000001</v>
      </c>
      <c r="L12" s="51">
        <v>9996.2540000000008</v>
      </c>
      <c r="M12" s="51">
        <v>24376.31</v>
      </c>
      <c r="N12" s="50">
        <v>37964.506999999998</v>
      </c>
      <c r="O12" s="62"/>
      <c r="P12" s="62"/>
      <c r="Q12" s="63"/>
      <c r="R12" s="64"/>
      <c r="S12" s="64"/>
    </row>
    <row r="13" spans="1:19" s="30" customFormat="1" ht="11.25" customHeight="1" x14ac:dyDescent="0.2">
      <c r="A13" s="40" t="s">
        <v>5</v>
      </c>
      <c r="B13" s="51" t="s">
        <v>28</v>
      </c>
      <c r="C13" s="51" t="s">
        <v>28</v>
      </c>
      <c r="D13" s="51" t="s">
        <v>28</v>
      </c>
      <c r="E13" s="51" t="s">
        <v>28</v>
      </c>
      <c r="F13" s="51" t="s">
        <v>28</v>
      </c>
      <c r="G13" s="51" t="s">
        <v>28</v>
      </c>
      <c r="H13" s="51">
        <v>144.10499999999999</v>
      </c>
      <c r="I13" s="51">
        <v>594.34900000000005</v>
      </c>
      <c r="J13" s="23" t="s">
        <v>28</v>
      </c>
      <c r="K13" s="23" t="s">
        <v>28</v>
      </c>
      <c r="L13" s="51">
        <v>1579.164</v>
      </c>
      <c r="M13" s="51">
        <v>7090.7889999999998</v>
      </c>
      <c r="N13" s="50">
        <v>9264.3019999999997</v>
      </c>
      <c r="O13" s="62"/>
      <c r="P13" s="62"/>
      <c r="Q13" s="63"/>
      <c r="R13" s="64"/>
      <c r="S13" s="64"/>
    </row>
    <row r="14" spans="1:19" s="5" customFormat="1" ht="11.25" customHeight="1" x14ac:dyDescent="0.2">
      <c r="A14" s="38" t="s">
        <v>6</v>
      </c>
      <c r="B14" s="23" t="s">
        <v>28</v>
      </c>
      <c r="C14" s="23" t="s">
        <v>28</v>
      </c>
      <c r="D14" s="23">
        <v>3557</v>
      </c>
      <c r="E14" s="23">
        <v>3527.4389999999999</v>
      </c>
      <c r="F14" s="23" t="s">
        <v>28</v>
      </c>
      <c r="G14" s="23" t="s">
        <v>28</v>
      </c>
      <c r="H14" s="23" t="s">
        <v>28</v>
      </c>
      <c r="I14" s="51">
        <v>2.2050000000000001</v>
      </c>
      <c r="J14" s="23">
        <v>937</v>
      </c>
      <c r="K14" s="23">
        <v>1165.537</v>
      </c>
      <c r="L14" s="52">
        <v>149.28200000000001</v>
      </c>
      <c r="M14" s="23">
        <v>684.55200000000002</v>
      </c>
      <c r="N14" s="50">
        <v>5529.0149999999994</v>
      </c>
      <c r="O14" s="10"/>
      <c r="P14" s="25"/>
      <c r="Q14" s="29"/>
      <c r="R14" s="60"/>
      <c r="S14" s="61"/>
    </row>
    <row r="15" spans="1:19" s="5" customFormat="1" ht="11.25" customHeight="1" x14ac:dyDescent="0.2">
      <c r="A15" s="38" t="s">
        <v>7</v>
      </c>
      <c r="B15" s="23" t="s">
        <v>28</v>
      </c>
      <c r="C15" s="23" t="s">
        <v>28</v>
      </c>
      <c r="D15" s="23">
        <v>8</v>
      </c>
      <c r="E15" s="23">
        <v>9.5</v>
      </c>
      <c r="F15" s="23" t="s">
        <v>28</v>
      </c>
      <c r="G15" s="23" t="s">
        <v>28</v>
      </c>
      <c r="H15" s="23">
        <v>26411.690999999999</v>
      </c>
      <c r="I15" s="23">
        <v>52031.572999999997</v>
      </c>
      <c r="J15" s="23">
        <v>21</v>
      </c>
      <c r="K15" s="52">
        <v>79.340999999999994</v>
      </c>
      <c r="L15" s="52">
        <v>37.877000000000002</v>
      </c>
      <c r="M15" s="23">
        <v>829.19799999999998</v>
      </c>
      <c r="N15" s="50">
        <v>52988.488999999994</v>
      </c>
      <c r="O15" s="10"/>
      <c r="P15" s="25"/>
      <c r="Q15" s="29"/>
      <c r="R15" s="60"/>
      <c r="S15" s="61"/>
    </row>
    <row r="16" spans="1:19" s="5" customFormat="1" ht="11.25" customHeight="1" x14ac:dyDescent="0.2">
      <c r="A16" s="38" t="s">
        <v>8</v>
      </c>
      <c r="B16" s="23" t="s">
        <v>28</v>
      </c>
      <c r="C16" s="23" t="s">
        <v>28</v>
      </c>
      <c r="D16" s="23">
        <v>2</v>
      </c>
      <c r="E16" s="23">
        <v>1.0129999999999999</v>
      </c>
      <c r="F16" s="23">
        <v>265</v>
      </c>
      <c r="G16" s="23">
        <v>399.22899999999998</v>
      </c>
      <c r="H16" s="23">
        <v>1005.97</v>
      </c>
      <c r="I16" s="23">
        <v>3732.4690000000001</v>
      </c>
      <c r="J16" s="23">
        <v>65</v>
      </c>
      <c r="K16" s="52">
        <v>143.97</v>
      </c>
      <c r="L16" s="52">
        <v>1464.84</v>
      </c>
      <c r="M16" s="23">
        <v>24101.89</v>
      </c>
      <c r="N16" s="53">
        <v>29843.411</v>
      </c>
      <c r="O16" s="10"/>
      <c r="P16" s="25"/>
      <c r="Q16" s="29"/>
      <c r="R16" s="60"/>
      <c r="S16" s="61"/>
    </row>
    <row r="17" spans="1:19" s="5" customFormat="1" ht="11.25" customHeight="1" x14ac:dyDescent="0.2">
      <c r="A17" s="41" t="s">
        <v>9</v>
      </c>
      <c r="B17" s="23" t="s">
        <v>28</v>
      </c>
      <c r="C17" s="23" t="s">
        <v>28</v>
      </c>
      <c r="D17" s="23" t="s">
        <v>28</v>
      </c>
      <c r="E17" s="23" t="s">
        <v>28</v>
      </c>
      <c r="F17" s="23">
        <v>166</v>
      </c>
      <c r="G17" s="23">
        <v>630.577</v>
      </c>
      <c r="H17" s="23">
        <v>12870.286</v>
      </c>
      <c r="I17" s="23">
        <v>34533.752</v>
      </c>
      <c r="J17" s="23">
        <v>450</v>
      </c>
      <c r="K17" s="23">
        <v>663.02499999999998</v>
      </c>
      <c r="L17" s="23">
        <v>575.45699999999999</v>
      </c>
      <c r="M17" s="23">
        <v>17535.038</v>
      </c>
      <c r="N17" s="50">
        <v>53937.848999999995</v>
      </c>
      <c r="O17" s="10"/>
      <c r="P17" s="25"/>
      <c r="Q17" s="67"/>
      <c r="R17" s="60"/>
      <c r="S17" s="61"/>
    </row>
    <row r="18" spans="1:19" s="5" customFormat="1" ht="11.25" customHeight="1" x14ac:dyDescent="0.2">
      <c r="A18" s="38" t="s">
        <v>41</v>
      </c>
      <c r="B18" s="23" t="s">
        <v>28</v>
      </c>
      <c r="C18" s="23" t="s">
        <v>28</v>
      </c>
      <c r="D18" s="23">
        <v>84</v>
      </c>
      <c r="E18" s="23">
        <v>153.60400000000001</v>
      </c>
      <c r="F18" s="23" t="s">
        <v>28</v>
      </c>
      <c r="G18" s="23" t="s">
        <v>28</v>
      </c>
      <c r="H18" s="23">
        <v>3.2490000000000001</v>
      </c>
      <c r="I18" s="23">
        <v>52.156999999999996</v>
      </c>
      <c r="J18" s="23">
        <v>3</v>
      </c>
      <c r="K18" s="23">
        <v>6.8150000000000004</v>
      </c>
      <c r="L18" s="23">
        <v>655.35299999999995</v>
      </c>
      <c r="M18" s="23">
        <v>1984.7270000000001</v>
      </c>
      <c r="N18" s="50">
        <v>2852.6559999999999</v>
      </c>
      <c r="O18" s="10"/>
      <c r="P18" s="25"/>
      <c r="Q18" s="29"/>
      <c r="R18" s="60"/>
      <c r="S18" s="61"/>
    </row>
    <row r="19" spans="1:19" s="30" customFormat="1" ht="11.25" customHeight="1" x14ac:dyDescent="0.2">
      <c r="A19" s="40" t="s">
        <v>10</v>
      </c>
      <c r="B19" s="51" t="s">
        <v>28</v>
      </c>
      <c r="C19" s="51" t="s">
        <v>28</v>
      </c>
      <c r="D19" s="51" t="s">
        <v>28</v>
      </c>
      <c r="E19" s="51" t="s">
        <v>28</v>
      </c>
      <c r="F19" s="51" t="s">
        <v>28</v>
      </c>
      <c r="G19" s="51" t="s">
        <v>28</v>
      </c>
      <c r="H19" s="51">
        <v>307.38099999999997</v>
      </c>
      <c r="I19" s="51">
        <v>863.65200000000004</v>
      </c>
      <c r="J19" s="51" t="s">
        <v>28</v>
      </c>
      <c r="K19" s="51" t="s">
        <v>28</v>
      </c>
      <c r="L19" s="51">
        <v>677.6</v>
      </c>
      <c r="M19" s="51">
        <v>1050.8879999999999</v>
      </c>
      <c r="N19" s="50">
        <v>2593.14</v>
      </c>
      <c r="O19" s="62"/>
      <c r="P19" s="62"/>
      <c r="Q19" s="63"/>
      <c r="R19" s="64"/>
      <c r="S19" s="65"/>
    </row>
    <row r="20" spans="1:19" s="5" customFormat="1" ht="11.25" customHeight="1" x14ac:dyDescent="0.2">
      <c r="A20" s="38" t="s">
        <v>11</v>
      </c>
      <c r="B20" s="23" t="s">
        <v>28</v>
      </c>
      <c r="C20" s="23" t="s">
        <v>28</v>
      </c>
      <c r="D20" s="23">
        <v>1331</v>
      </c>
      <c r="E20" s="23">
        <v>2104.1460000000002</v>
      </c>
      <c r="F20" s="23">
        <v>5000</v>
      </c>
      <c r="G20" s="23">
        <v>5084.018</v>
      </c>
      <c r="H20" s="23">
        <v>16957.156999999999</v>
      </c>
      <c r="I20" s="23">
        <v>34427.237000000001</v>
      </c>
      <c r="J20" s="23">
        <v>774</v>
      </c>
      <c r="K20" s="23">
        <v>1488.903</v>
      </c>
      <c r="L20" s="23">
        <v>11102.691000000001</v>
      </c>
      <c r="M20" s="23">
        <v>42092.565000000002</v>
      </c>
      <c r="N20" s="50">
        <v>96299.56</v>
      </c>
      <c r="O20" s="10"/>
      <c r="P20" s="25"/>
      <c r="Q20" s="29"/>
      <c r="R20" s="60"/>
      <c r="S20" s="61"/>
    </row>
    <row r="21" spans="1:19" s="5" customFormat="1" ht="11.25" customHeight="1" x14ac:dyDescent="0.2">
      <c r="A21" s="38" t="s">
        <v>12</v>
      </c>
      <c r="B21" s="23" t="s">
        <v>28</v>
      </c>
      <c r="C21" s="23" t="s">
        <v>28</v>
      </c>
      <c r="D21" s="23">
        <v>186</v>
      </c>
      <c r="E21" s="23">
        <v>333.14</v>
      </c>
      <c r="F21" s="23" t="s">
        <v>28</v>
      </c>
      <c r="G21" s="23" t="s">
        <v>28</v>
      </c>
      <c r="H21" s="23">
        <v>6301.5259999999998</v>
      </c>
      <c r="I21" s="23">
        <v>15972.154</v>
      </c>
      <c r="J21" s="23">
        <v>4</v>
      </c>
      <c r="K21" s="23">
        <v>61.345999999999997</v>
      </c>
      <c r="L21" s="23">
        <v>11905.549000000001</v>
      </c>
      <c r="M21" s="23">
        <v>5099.1239999999998</v>
      </c>
      <c r="N21" s="50">
        <v>33371.313000000002</v>
      </c>
      <c r="O21" s="10"/>
      <c r="P21" s="25"/>
      <c r="Q21" s="29"/>
      <c r="R21" s="60"/>
      <c r="S21" s="61"/>
    </row>
    <row r="22" spans="1:19" s="5" customFormat="1" ht="11.25" customHeight="1" x14ac:dyDescent="0.2">
      <c r="A22" s="38" t="s">
        <v>13</v>
      </c>
      <c r="B22" s="23">
        <v>8</v>
      </c>
      <c r="C22" s="23">
        <v>3.6419999999999999</v>
      </c>
      <c r="D22" s="23">
        <v>5</v>
      </c>
      <c r="E22" s="23">
        <v>10.026999999999999</v>
      </c>
      <c r="F22" s="23">
        <v>15</v>
      </c>
      <c r="G22" s="23">
        <v>46.206000000000003</v>
      </c>
      <c r="H22" s="23">
        <v>11539.995000000001</v>
      </c>
      <c r="I22" s="23">
        <v>32307.512999999999</v>
      </c>
      <c r="J22" s="23" t="s">
        <v>28</v>
      </c>
      <c r="K22" s="23" t="s">
        <v>28</v>
      </c>
      <c r="L22" s="23">
        <v>41.383000000000003</v>
      </c>
      <c r="M22" s="23">
        <v>4792.3500000000004</v>
      </c>
      <c r="N22" s="50">
        <v>37201.120999999999</v>
      </c>
      <c r="O22" s="68"/>
      <c r="P22" s="25"/>
      <c r="Q22" s="29"/>
      <c r="R22" s="60"/>
      <c r="S22" s="61"/>
    </row>
    <row r="23" spans="1:19" s="5" customFormat="1" ht="11.25" customHeight="1" x14ac:dyDescent="0.2">
      <c r="A23" s="41" t="s">
        <v>42</v>
      </c>
      <c r="B23" s="23" t="s">
        <v>28</v>
      </c>
      <c r="C23" s="52" t="s">
        <v>28</v>
      </c>
      <c r="D23" s="23" t="s">
        <v>28</v>
      </c>
      <c r="E23" s="23" t="s">
        <v>28</v>
      </c>
      <c r="F23" s="23" t="s">
        <v>28</v>
      </c>
      <c r="G23" s="23" t="s">
        <v>28</v>
      </c>
      <c r="H23" s="23">
        <v>10525.866</v>
      </c>
      <c r="I23" s="23">
        <v>21018.382000000001</v>
      </c>
      <c r="J23" s="23" t="s">
        <v>28</v>
      </c>
      <c r="K23" s="23">
        <v>2.4670000000000001</v>
      </c>
      <c r="L23" s="23">
        <v>25.39</v>
      </c>
      <c r="M23" s="23">
        <v>1448.626</v>
      </c>
      <c r="N23" s="50">
        <v>22493.865000000002</v>
      </c>
      <c r="O23" s="10"/>
      <c r="P23" s="25"/>
      <c r="Q23" s="67"/>
      <c r="R23" s="60"/>
      <c r="S23" s="66"/>
    </row>
    <row r="24" spans="1:19" s="5" customFormat="1" ht="11.25" customHeight="1" x14ac:dyDescent="0.2">
      <c r="A24" s="38" t="s">
        <v>14</v>
      </c>
      <c r="B24" s="23" t="s">
        <v>28</v>
      </c>
      <c r="C24" s="52" t="s">
        <v>28</v>
      </c>
      <c r="D24" s="23">
        <v>506</v>
      </c>
      <c r="E24" s="23">
        <v>688.22299999999996</v>
      </c>
      <c r="F24" s="23" t="s">
        <v>28</v>
      </c>
      <c r="G24" s="23" t="s">
        <v>28</v>
      </c>
      <c r="H24" s="23">
        <v>750.31</v>
      </c>
      <c r="I24" s="23">
        <v>3199.3829999999998</v>
      </c>
      <c r="J24" s="23">
        <v>2196</v>
      </c>
      <c r="K24" s="23">
        <v>2544.9899999999998</v>
      </c>
      <c r="L24" s="23">
        <v>29428.788</v>
      </c>
      <c r="M24" s="23">
        <v>8004.6719999999996</v>
      </c>
      <c r="N24" s="50">
        <v>43866.055999999997</v>
      </c>
      <c r="O24" s="10"/>
      <c r="P24" s="25"/>
      <c r="Q24" s="29"/>
      <c r="R24" s="60"/>
      <c r="S24" s="66"/>
    </row>
    <row r="25" spans="1:19" s="48" customFormat="1" ht="11.25" customHeight="1" x14ac:dyDescent="0.2">
      <c r="A25" s="38" t="s">
        <v>47</v>
      </c>
      <c r="B25" s="23">
        <v>69</v>
      </c>
      <c r="C25" s="52">
        <v>142.45599999999999</v>
      </c>
      <c r="D25" s="23">
        <v>234</v>
      </c>
      <c r="E25" s="23">
        <v>1360.12</v>
      </c>
      <c r="F25" s="23" t="s">
        <v>28</v>
      </c>
      <c r="G25" s="52" t="s">
        <v>28</v>
      </c>
      <c r="H25" s="23" t="s">
        <v>28</v>
      </c>
      <c r="I25" s="52" t="s">
        <v>28</v>
      </c>
      <c r="J25" s="23">
        <v>124</v>
      </c>
      <c r="K25" s="52">
        <v>179.595</v>
      </c>
      <c r="L25" s="52" t="s">
        <v>28</v>
      </c>
      <c r="M25" s="52" t="s">
        <v>28</v>
      </c>
      <c r="N25" s="50">
        <v>1682.1709999999998</v>
      </c>
      <c r="O25" s="25"/>
      <c r="P25" s="25"/>
      <c r="Q25" s="73"/>
      <c r="R25" s="74"/>
      <c r="S25" s="75"/>
    </row>
    <row r="26" spans="1:19" s="5" customFormat="1" ht="11.25" customHeight="1" x14ac:dyDescent="0.2">
      <c r="A26" s="38" t="s">
        <v>16</v>
      </c>
      <c r="B26" s="23" t="s">
        <v>28</v>
      </c>
      <c r="C26" s="23" t="s">
        <v>28</v>
      </c>
      <c r="D26" s="23" t="s">
        <v>28</v>
      </c>
      <c r="E26" s="23" t="s">
        <v>28</v>
      </c>
      <c r="F26" s="23" t="s">
        <v>28</v>
      </c>
      <c r="G26" s="23" t="s">
        <v>28</v>
      </c>
      <c r="H26" s="23">
        <v>1966.9059999999999</v>
      </c>
      <c r="I26" s="23">
        <v>3836.5050000000001</v>
      </c>
      <c r="J26" s="23" t="s">
        <v>28</v>
      </c>
      <c r="K26" s="23" t="s">
        <v>28</v>
      </c>
      <c r="L26" s="23">
        <v>708.54899999999998</v>
      </c>
      <c r="M26" s="23">
        <v>5743.866</v>
      </c>
      <c r="N26" s="50">
        <v>10289.92</v>
      </c>
      <c r="O26" s="68"/>
      <c r="P26" s="25"/>
      <c r="Q26" s="29"/>
      <c r="R26" s="60"/>
      <c r="S26" s="61"/>
    </row>
    <row r="27" spans="1:19" s="5" customFormat="1" ht="11.25" customHeight="1" x14ac:dyDescent="0.2">
      <c r="A27" s="38" t="s">
        <v>17</v>
      </c>
      <c r="B27" s="23" t="s">
        <v>28</v>
      </c>
      <c r="C27" s="23" t="s">
        <v>28</v>
      </c>
      <c r="D27" s="23" t="s">
        <v>28</v>
      </c>
      <c r="E27" s="23" t="s">
        <v>28</v>
      </c>
      <c r="F27" s="23" t="s">
        <v>28</v>
      </c>
      <c r="G27" s="23" t="s">
        <v>28</v>
      </c>
      <c r="H27" s="23">
        <v>1061.568</v>
      </c>
      <c r="I27" s="23">
        <v>2411.7849999999999</v>
      </c>
      <c r="J27" s="23" t="s">
        <v>28</v>
      </c>
      <c r="K27" s="23" t="s">
        <v>28</v>
      </c>
      <c r="L27" s="23">
        <v>41.451000000000001</v>
      </c>
      <c r="M27" s="23">
        <v>530.04300000000001</v>
      </c>
      <c r="N27" s="50">
        <v>2983.279</v>
      </c>
      <c r="O27" s="10"/>
      <c r="P27" s="25"/>
      <c r="Q27" s="29"/>
      <c r="R27" s="60"/>
      <c r="S27" s="61"/>
    </row>
    <row r="28" spans="1:19" s="5" customFormat="1" ht="11.25" customHeight="1" x14ac:dyDescent="0.2">
      <c r="A28" s="38" t="s">
        <v>18</v>
      </c>
      <c r="B28" s="23">
        <v>793</v>
      </c>
      <c r="C28" s="23">
        <v>916.88300000000004</v>
      </c>
      <c r="D28" s="23">
        <v>2606</v>
      </c>
      <c r="E28" s="23">
        <v>2973.0749999999998</v>
      </c>
      <c r="F28" s="23" t="s">
        <v>28</v>
      </c>
      <c r="G28" s="23" t="s">
        <v>28</v>
      </c>
      <c r="H28" s="23" t="s">
        <v>28</v>
      </c>
      <c r="I28" s="23" t="s">
        <v>28</v>
      </c>
      <c r="J28" s="23" t="s">
        <v>28</v>
      </c>
      <c r="K28" s="23" t="s">
        <v>28</v>
      </c>
      <c r="L28" s="23" t="s">
        <v>28</v>
      </c>
      <c r="M28" s="23">
        <v>1095.1869999999999</v>
      </c>
      <c r="N28" s="50">
        <v>4985.1449999999995</v>
      </c>
      <c r="O28" s="10"/>
      <c r="P28" s="25"/>
      <c r="Q28" s="29"/>
      <c r="R28" s="60"/>
      <c r="S28" s="61"/>
    </row>
    <row r="29" spans="1:19" s="5" customFormat="1" ht="11.25" customHeight="1" x14ac:dyDescent="0.2">
      <c r="A29" s="38" t="s">
        <v>19</v>
      </c>
      <c r="B29" s="23" t="s">
        <v>28</v>
      </c>
      <c r="C29" s="23" t="s">
        <v>28</v>
      </c>
      <c r="D29" s="23" t="s">
        <v>28</v>
      </c>
      <c r="E29" s="23" t="s">
        <v>28</v>
      </c>
      <c r="F29" s="23" t="s">
        <v>28</v>
      </c>
      <c r="G29" s="23" t="s">
        <v>28</v>
      </c>
      <c r="H29" s="23">
        <v>0.503</v>
      </c>
      <c r="I29" s="23">
        <v>15.291</v>
      </c>
      <c r="J29" s="23" t="s">
        <v>28</v>
      </c>
      <c r="K29" s="23" t="s">
        <v>28</v>
      </c>
      <c r="L29" s="23">
        <v>353.84699999999998</v>
      </c>
      <c r="M29" s="23">
        <v>1036.7159999999999</v>
      </c>
      <c r="N29" s="50">
        <v>1405.8539999999998</v>
      </c>
      <c r="O29" s="10"/>
      <c r="P29" s="25"/>
      <c r="Q29" s="29"/>
      <c r="R29" s="60"/>
      <c r="S29" s="61"/>
    </row>
    <row r="30" spans="1:19" s="5" customFormat="1" ht="11.25" customHeight="1" x14ac:dyDescent="0.2">
      <c r="A30" s="38" t="s">
        <v>20</v>
      </c>
      <c r="B30" s="23" t="s">
        <v>28</v>
      </c>
      <c r="C30" s="23" t="s">
        <v>28</v>
      </c>
      <c r="D30" s="23" t="s">
        <v>28</v>
      </c>
      <c r="E30" s="23" t="s">
        <v>28</v>
      </c>
      <c r="F30" s="23" t="s">
        <v>28</v>
      </c>
      <c r="G30" s="23" t="s">
        <v>28</v>
      </c>
      <c r="H30" s="23" t="s">
        <v>28</v>
      </c>
      <c r="I30" s="23" t="s">
        <v>28</v>
      </c>
      <c r="J30" s="23" t="s">
        <v>28</v>
      </c>
      <c r="K30" s="23" t="s">
        <v>28</v>
      </c>
      <c r="L30" s="23">
        <v>9.6630000000000003</v>
      </c>
      <c r="M30" s="23">
        <v>16731.901000000002</v>
      </c>
      <c r="N30" s="50">
        <v>16741.564000000002</v>
      </c>
      <c r="O30" s="10"/>
      <c r="P30" s="25"/>
      <c r="Q30" s="29"/>
      <c r="R30" s="60"/>
      <c r="S30" s="61"/>
    </row>
    <row r="31" spans="1:19" s="5" customFormat="1" ht="11.25" customHeight="1" x14ac:dyDescent="0.2">
      <c r="A31" s="38" t="s">
        <v>21</v>
      </c>
      <c r="B31" s="23" t="s">
        <v>28</v>
      </c>
      <c r="C31" s="23" t="s">
        <v>28</v>
      </c>
      <c r="D31" s="23">
        <v>48</v>
      </c>
      <c r="E31" s="23">
        <v>126.94199999999999</v>
      </c>
      <c r="F31" s="23" t="s">
        <v>28</v>
      </c>
      <c r="G31" s="23" t="s">
        <v>28</v>
      </c>
      <c r="H31" s="23">
        <v>2870.2579999999998</v>
      </c>
      <c r="I31" s="23">
        <v>20236.358</v>
      </c>
      <c r="J31" s="23">
        <v>530</v>
      </c>
      <c r="K31" s="23">
        <v>625.03700000000003</v>
      </c>
      <c r="L31" s="23">
        <v>397.56700000000001</v>
      </c>
      <c r="M31" s="23">
        <v>2107.8150000000001</v>
      </c>
      <c r="N31" s="50">
        <v>23493.719000000001</v>
      </c>
      <c r="O31" s="1"/>
      <c r="P31" s="25"/>
      <c r="Q31" s="29"/>
      <c r="R31" s="60"/>
      <c r="S31" s="61"/>
    </row>
    <row r="32" spans="1:19" s="5" customFormat="1" ht="11.25" customHeight="1" x14ac:dyDescent="0.2">
      <c r="A32" s="38" t="s">
        <v>22</v>
      </c>
      <c r="B32" s="23" t="s">
        <v>28</v>
      </c>
      <c r="C32" s="23" t="s">
        <v>28</v>
      </c>
      <c r="D32" s="23">
        <v>85</v>
      </c>
      <c r="E32" s="23">
        <v>85.480999999999995</v>
      </c>
      <c r="F32" s="23" t="s">
        <v>28</v>
      </c>
      <c r="G32" s="23" t="s">
        <v>28</v>
      </c>
      <c r="H32" s="23">
        <v>1452.9939999999999</v>
      </c>
      <c r="I32" s="23">
        <v>2776.1509999999998</v>
      </c>
      <c r="J32" s="23">
        <v>106</v>
      </c>
      <c r="K32" s="23">
        <v>354.19499999999999</v>
      </c>
      <c r="L32" s="23">
        <v>102.45699999999999</v>
      </c>
      <c r="M32" s="23">
        <v>797.34</v>
      </c>
      <c r="N32" s="50">
        <v>4113.6239999999998</v>
      </c>
      <c r="O32" s="10"/>
      <c r="P32" s="25"/>
      <c r="Q32" s="29"/>
      <c r="R32" s="60"/>
      <c r="S32" s="61"/>
    </row>
    <row r="33" spans="1:19" s="30" customFormat="1" ht="11.25" customHeight="1" x14ac:dyDescent="0.2">
      <c r="A33" s="40" t="s">
        <v>23</v>
      </c>
      <c r="B33" s="51" t="s">
        <v>28</v>
      </c>
      <c r="C33" s="51" t="s">
        <v>28</v>
      </c>
      <c r="D33" s="51" t="s">
        <v>28</v>
      </c>
      <c r="E33" s="51" t="s">
        <v>28</v>
      </c>
      <c r="F33" s="51" t="s">
        <v>28</v>
      </c>
      <c r="G33" s="51" t="s">
        <v>28</v>
      </c>
      <c r="H33" s="51">
        <v>562.75199999999995</v>
      </c>
      <c r="I33" s="51">
        <v>2729.9430000000002</v>
      </c>
      <c r="J33" s="51" t="s">
        <v>28</v>
      </c>
      <c r="K33" s="51" t="s">
        <v>28</v>
      </c>
      <c r="L33" s="51">
        <v>417.88099999999997</v>
      </c>
      <c r="M33" s="51">
        <v>933.99599999999998</v>
      </c>
      <c r="N33" s="50">
        <v>4081.82</v>
      </c>
      <c r="O33" s="62"/>
      <c r="P33" s="62"/>
      <c r="Q33" s="63"/>
      <c r="R33" s="64"/>
      <c r="S33" s="64"/>
    </row>
    <row r="34" spans="1:19" s="5" customFormat="1" ht="11.25" customHeight="1" x14ac:dyDescent="0.2">
      <c r="A34" s="38" t="s">
        <v>24</v>
      </c>
      <c r="B34" s="23" t="s">
        <v>28</v>
      </c>
      <c r="C34" s="23" t="s">
        <v>28</v>
      </c>
      <c r="D34" s="23" t="s">
        <v>28</v>
      </c>
      <c r="E34" s="23" t="s">
        <v>28</v>
      </c>
      <c r="F34" s="23" t="s">
        <v>28</v>
      </c>
      <c r="G34" s="23" t="s">
        <v>28</v>
      </c>
      <c r="H34" s="23">
        <v>11061.912</v>
      </c>
      <c r="I34" s="23">
        <v>22144.706999999999</v>
      </c>
      <c r="J34" s="23" t="s">
        <v>28</v>
      </c>
      <c r="K34" s="23">
        <v>1423.729</v>
      </c>
      <c r="L34" s="23">
        <v>7.6849999999999996</v>
      </c>
      <c r="M34" s="23">
        <v>4373.915</v>
      </c>
      <c r="N34" s="50">
        <v>27951.036</v>
      </c>
      <c r="O34" s="10"/>
      <c r="P34" s="25"/>
      <c r="Q34" s="29"/>
      <c r="R34" s="60"/>
      <c r="S34" s="61"/>
    </row>
    <row r="35" spans="1:19" s="5" customFormat="1" ht="11.25" customHeight="1" x14ac:dyDescent="0.2">
      <c r="A35" s="38" t="s">
        <v>25</v>
      </c>
      <c r="B35" s="23" t="s">
        <v>28</v>
      </c>
      <c r="C35" s="23" t="s">
        <v>28</v>
      </c>
      <c r="D35" s="23" t="s">
        <v>28</v>
      </c>
      <c r="E35" s="23" t="s">
        <v>28</v>
      </c>
      <c r="F35" s="23" t="s">
        <v>28</v>
      </c>
      <c r="G35" s="23" t="s">
        <v>28</v>
      </c>
      <c r="H35" s="23">
        <v>98.228999999999999</v>
      </c>
      <c r="I35" s="23">
        <v>512.01900000000001</v>
      </c>
      <c r="J35" s="23" t="s">
        <v>28</v>
      </c>
      <c r="K35" s="23" t="s">
        <v>28</v>
      </c>
      <c r="L35" s="23">
        <v>53.664000000000001</v>
      </c>
      <c r="M35" s="23">
        <v>577.92700000000002</v>
      </c>
      <c r="N35" s="50">
        <v>1143.6099999999999</v>
      </c>
      <c r="O35" s="10"/>
      <c r="P35" s="25"/>
      <c r="Q35" s="29"/>
      <c r="R35" s="60"/>
      <c r="S35" s="61"/>
    </row>
    <row r="36" spans="1:19" s="5" customFormat="1" ht="11.25" customHeight="1" x14ac:dyDescent="0.2">
      <c r="A36" s="41" t="s">
        <v>31</v>
      </c>
      <c r="B36" s="23" t="s">
        <v>28</v>
      </c>
      <c r="C36" s="23" t="s">
        <v>28</v>
      </c>
      <c r="D36" s="23" t="s">
        <v>28</v>
      </c>
      <c r="E36" s="23" t="s">
        <v>28</v>
      </c>
      <c r="F36" s="23" t="s">
        <v>28</v>
      </c>
      <c r="G36" s="23" t="s">
        <v>28</v>
      </c>
      <c r="H36" s="23">
        <v>259.01799999999997</v>
      </c>
      <c r="I36" s="23">
        <v>1879.3430000000001</v>
      </c>
      <c r="J36" s="23">
        <v>6</v>
      </c>
      <c r="K36" s="23">
        <v>25.135000000000002</v>
      </c>
      <c r="L36" s="23">
        <v>675.68399999999997</v>
      </c>
      <c r="M36" s="23">
        <v>3494.8679999999999</v>
      </c>
      <c r="N36" s="50">
        <v>6075.03</v>
      </c>
      <c r="O36" s="10"/>
      <c r="P36" s="25"/>
      <c r="Q36" s="67"/>
      <c r="R36" s="60"/>
      <c r="S36" s="61"/>
    </row>
    <row r="37" spans="1:19" s="5" customFormat="1" ht="11.25" customHeight="1" x14ac:dyDescent="0.2">
      <c r="A37" s="38" t="s">
        <v>26</v>
      </c>
      <c r="B37" s="23" t="s">
        <v>28</v>
      </c>
      <c r="C37" s="23" t="s">
        <v>28</v>
      </c>
      <c r="D37" s="23" t="s">
        <v>28</v>
      </c>
      <c r="E37" s="23" t="s">
        <v>28</v>
      </c>
      <c r="F37" s="23" t="s">
        <v>28</v>
      </c>
      <c r="G37" s="23" t="s">
        <v>28</v>
      </c>
      <c r="H37" s="23">
        <v>1279.2560000000001</v>
      </c>
      <c r="I37" s="23">
        <v>2644.4659999999999</v>
      </c>
      <c r="J37" s="23">
        <v>21</v>
      </c>
      <c r="K37" s="23">
        <v>93.177999999999997</v>
      </c>
      <c r="L37" s="23">
        <v>4141.125</v>
      </c>
      <c r="M37" s="23">
        <v>3185.5149999999999</v>
      </c>
      <c r="N37" s="50">
        <v>10064.284</v>
      </c>
      <c r="O37" s="69"/>
      <c r="P37" s="25"/>
      <c r="Q37" s="29"/>
      <c r="R37" s="60"/>
      <c r="S37" s="61"/>
    </row>
    <row r="38" spans="1:19" s="5" customFormat="1" ht="11.25" customHeight="1" x14ac:dyDescent="0.2">
      <c r="A38" s="38" t="s">
        <v>45</v>
      </c>
      <c r="B38" s="23" t="s">
        <v>28</v>
      </c>
      <c r="C38" s="23" t="s">
        <v>28</v>
      </c>
      <c r="D38" s="54">
        <v>1591</v>
      </c>
      <c r="E38" s="23">
        <v>2857.663</v>
      </c>
      <c r="F38" s="23">
        <v>2625</v>
      </c>
      <c r="G38" s="23">
        <v>3895.6190000000001</v>
      </c>
      <c r="H38" s="23">
        <v>18921.133999999998</v>
      </c>
      <c r="I38" s="23">
        <v>46914.239999999998</v>
      </c>
      <c r="J38" s="23">
        <v>1447</v>
      </c>
      <c r="K38" s="23">
        <v>1981.595</v>
      </c>
      <c r="L38" s="23">
        <v>3219.4789999999998</v>
      </c>
      <c r="M38" s="23">
        <v>30514.971000000001</v>
      </c>
      <c r="N38" s="50">
        <v>89383.56700000001</v>
      </c>
      <c r="O38" s="70"/>
      <c r="P38" s="25"/>
      <c r="Q38" s="67"/>
      <c r="R38" s="60"/>
      <c r="S38" s="61"/>
    </row>
    <row r="39" spans="1:19" s="30" customFormat="1" ht="11.25" customHeight="1" x14ac:dyDescent="0.2">
      <c r="A39" s="40" t="s">
        <v>46</v>
      </c>
      <c r="B39" s="51" t="s">
        <v>28</v>
      </c>
      <c r="C39" s="51" t="s">
        <v>28</v>
      </c>
      <c r="D39" s="51" t="s">
        <v>28</v>
      </c>
      <c r="E39" s="51" t="s">
        <v>28</v>
      </c>
      <c r="F39" s="51" t="s">
        <v>28</v>
      </c>
      <c r="G39" s="51" t="s">
        <v>28</v>
      </c>
      <c r="H39" s="51" t="s">
        <v>28</v>
      </c>
      <c r="I39" s="51" t="s">
        <v>28</v>
      </c>
      <c r="J39" s="51" t="s">
        <v>28</v>
      </c>
      <c r="K39" s="51" t="s">
        <v>28</v>
      </c>
      <c r="L39" s="51">
        <v>11008.772999999999</v>
      </c>
      <c r="M39" s="51">
        <v>1002.043</v>
      </c>
      <c r="N39" s="53">
        <v>12010.815999999999</v>
      </c>
      <c r="O39" s="68"/>
      <c r="P39" s="62"/>
      <c r="Q39" s="63"/>
      <c r="R39" s="64"/>
      <c r="S39" s="64"/>
    </row>
    <row r="40" spans="1:19" s="5" customFormat="1" ht="11.25" customHeight="1" x14ac:dyDescent="0.2">
      <c r="A40" s="4" t="s">
        <v>75</v>
      </c>
      <c r="B40" s="23">
        <v>269</v>
      </c>
      <c r="C40" s="23">
        <v>266.82000000000062</v>
      </c>
      <c r="D40" s="23">
        <v>1203</v>
      </c>
      <c r="E40" s="23">
        <v>1491.6459999999934</v>
      </c>
      <c r="F40" s="23" t="s">
        <v>28</v>
      </c>
      <c r="G40" s="23" t="s">
        <v>28</v>
      </c>
      <c r="H40" s="23">
        <v>143.1689999999362</v>
      </c>
      <c r="I40" s="23">
        <v>386.35700000007637</v>
      </c>
      <c r="J40" s="23">
        <v>94</v>
      </c>
      <c r="K40" s="23">
        <v>282.60800000000017</v>
      </c>
      <c r="L40" s="23">
        <v>779.88100000002305</v>
      </c>
      <c r="M40" s="23">
        <v>2041.0029999999679</v>
      </c>
      <c r="N40" s="50">
        <v>5249.3150000000614</v>
      </c>
      <c r="O40" s="68"/>
      <c r="P40" s="25"/>
      <c r="Q40" s="67"/>
      <c r="R40" s="28"/>
      <c r="S40" s="27"/>
    </row>
    <row r="41" spans="1:19" s="8" customFormat="1" ht="11.25" customHeight="1" x14ac:dyDescent="0.2">
      <c r="A41" s="84" t="s">
        <v>27</v>
      </c>
      <c r="B41" s="87">
        <v>5683</v>
      </c>
      <c r="C41" s="87">
        <v>4306.0910000000003</v>
      </c>
      <c r="D41" s="87">
        <v>32510</v>
      </c>
      <c r="E41" s="87">
        <v>48056.911999999997</v>
      </c>
      <c r="F41" s="87">
        <v>8839</v>
      </c>
      <c r="G41" s="87">
        <v>11235.213</v>
      </c>
      <c r="H41" s="87">
        <v>311504.51699999999</v>
      </c>
      <c r="I41" s="87">
        <v>574124.64399999997</v>
      </c>
      <c r="J41" s="87">
        <v>16247</v>
      </c>
      <c r="K41" s="87">
        <v>24418.199000000001</v>
      </c>
      <c r="L41" s="87">
        <v>105450.94</v>
      </c>
      <c r="M41" s="87">
        <v>424464.68</v>
      </c>
      <c r="N41" s="87">
        <v>1192056.679</v>
      </c>
      <c r="O41" s="71"/>
      <c r="P41" s="57"/>
      <c r="Q41" s="58"/>
      <c r="R41" s="72"/>
      <c r="S41" s="72"/>
    </row>
    <row r="42" spans="1:19" s="8" customFormat="1" ht="11.25" customHeight="1" x14ac:dyDescent="0.2">
      <c r="A42" s="24"/>
      <c r="B42" s="50"/>
      <c r="C42" s="50"/>
      <c r="D42" s="50"/>
      <c r="E42" s="50"/>
      <c r="F42" s="50"/>
      <c r="G42" s="50"/>
      <c r="H42" s="50"/>
      <c r="I42" s="50"/>
      <c r="J42" s="50"/>
      <c r="K42" s="50"/>
      <c r="L42" s="50"/>
      <c r="M42" s="50"/>
      <c r="N42" s="50"/>
      <c r="O42" s="71"/>
      <c r="P42" s="57"/>
      <c r="Q42" s="58"/>
      <c r="R42" s="72"/>
      <c r="S42" s="72"/>
    </row>
    <row r="43" spans="1:19" s="5" customFormat="1" ht="12.75" customHeight="1" x14ac:dyDescent="0.2">
      <c r="A43" s="79" t="s">
        <v>48</v>
      </c>
    </row>
    <row r="44" spans="1:19" s="5" customFormat="1" ht="12.75" customHeight="1" x14ac:dyDescent="0.2">
      <c r="A44" s="80" t="s">
        <v>49</v>
      </c>
    </row>
    <row r="45" spans="1:19" s="5" customFormat="1" ht="12.75" customHeight="1" x14ac:dyDescent="0.2">
      <c r="A45" s="80"/>
    </row>
    <row r="46" spans="1:19" s="5" customFormat="1" ht="12.75" customHeight="1" x14ac:dyDescent="0.2">
      <c r="A46" s="3" t="s">
        <v>37</v>
      </c>
    </row>
    <row r="47" spans="1:19" s="5" customFormat="1" ht="12.75" customHeight="1" x14ac:dyDescent="0.2">
      <c r="A47" s="4" t="s">
        <v>54</v>
      </c>
    </row>
    <row r="48" spans="1:19" s="5" customFormat="1" ht="12.75" customHeight="1" x14ac:dyDescent="0.2">
      <c r="A48" s="4" t="s">
        <v>55</v>
      </c>
    </row>
    <row r="49" spans="1:1" s="5" customFormat="1" ht="12.75" customHeight="1" x14ac:dyDescent="0.2">
      <c r="A49" s="4" t="s">
        <v>56</v>
      </c>
    </row>
    <row r="50" spans="1:1" s="5" customFormat="1" ht="12.75" customHeight="1" x14ac:dyDescent="0.2">
      <c r="A50" s="4" t="s">
        <v>67</v>
      </c>
    </row>
    <row r="51" spans="1:1" s="5" customFormat="1" ht="12.75" customHeight="1" x14ac:dyDescent="0.2">
      <c r="A51" s="4" t="s">
        <v>68</v>
      </c>
    </row>
    <row r="52" spans="1:1" s="5" customFormat="1" ht="12.75" customHeight="1" x14ac:dyDescent="0.2">
      <c r="A52" s="4" t="s">
        <v>72</v>
      </c>
    </row>
    <row r="53" spans="1:1" s="5" customFormat="1" ht="12.75" customHeight="1" x14ac:dyDescent="0.2">
      <c r="A53" s="4" t="s">
        <v>73</v>
      </c>
    </row>
    <row r="54" spans="1:1" s="5" customFormat="1" ht="12.75" customHeight="1" x14ac:dyDescent="0.2">
      <c r="A54" s="4" t="s">
        <v>74</v>
      </c>
    </row>
    <row r="55" spans="1:1" ht="12.75" customHeight="1" x14ac:dyDescent="0.2"/>
    <row r="56" spans="1:1" ht="12.75" customHeight="1" x14ac:dyDescent="0.2">
      <c r="A56" s="3" t="s">
        <v>50</v>
      </c>
    </row>
    <row r="57" spans="1:1" ht="12.75" customHeight="1" x14ac:dyDescent="0.2">
      <c r="A57" s="81" t="s">
        <v>51</v>
      </c>
    </row>
    <row r="58" spans="1:1" ht="11.25" customHeight="1" x14ac:dyDescent="0.2"/>
    <row r="59" spans="1:1" ht="11.25" customHeight="1" x14ac:dyDescent="0.2"/>
    <row r="60" spans="1:1" ht="11.25" customHeight="1" x14ac:dyDescent="0.2"/>
    <row r="61" spans="1:1" ht="11.25" customHeight="1" x14ac:dyDescent="0.2"/>
    <row r="62" spans="1:1" ht="11.25" customHeight="1" x14ac:dyDescent="0.2"/>
    <row r="63" spans="1:1" ht="11.25" customHeight="1" x14ac:dyDescent="0.2"/>
    <row r="64" spans="1:1" ht="11.25" customHeight="1" x14ac:dyDescent="0.2"/>
    <row r="65" ht="11.25" customHeight="1" x14ac:dyDescent="0.2"/>
    <row r="66" ht="11.25" customHeight="1" x14ac:dyDescent="0.2"/>
    <row r="67" ht="11.25" customHeight="1" x14ac:dyDescent="0.2"/>
    <row r="68" ht="11.25" customHeight="1" x14ac:dyDescent="0.2"/>
    <row r="69" ht="11.25" customHeight="1" x14ac:dyDescent="0.2"/>
  </sheetData>
  <mergeCells count="6">
    <mergeCell ref="H3:I3"/>
    <mergeCell ref="J3:K3"/>
    <mergeCell ref="A3:A5"/>
    <mergeCell ref="B3:C3"/>
    <mergeCell ref="D3:E3"/>
    <mergeCell ref="F3:G3"/>
  </mergeCells>
  <phoneticPr fontId="2" type="noConversion"/>
  <pageMargins left="0.75" right="0.75" top="1" bottom="1" header="0.5" footer="0.5"/>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R64"/>
  <sheetViews>
    <sheetView workbookViewId="0"/>
  </sheetViews>
  <sheetFormatPr defaultRowHeight="12.75" x14ac:dyDescent="0.2"/>
  <cols>
    <col min="1" max="1" width="20" style="82" customWidth="1"/>
    <col min="2" max="11" width="8.7109375" style="1" customWidth="1"/>
    <col min="12" max="12" width="12.28515625" style="1" customWidth="1"/>
    <col min="13" max="14" width="11.7109375" style="1" customWidth="1"/>
    <col min="15" max="16384" width="9.140625" style="1"/>
  </cols>
  <sheetData>
    <row r="1" spans="1:18" s="2" customFormat="1" ht="17.25" customHeight="1" x14ac:dyDescent="0.25">
      <c r="A1" s="76" t="s">
        <v>81</v>
      </c>
    </row>
    <row r="2" spans="1:18" s="2" customFormat="1" ht="11.25" customHeight="1" x14ac:dyDescent="0.25">
      <c r="A2" s="76"/>
    </row>
    <row r="3" spans="1:18" s="77" customFormat="1" ht="25.5" customHeight="1" x14ac:dyDescent="0.2">
      <c r="A3" s="175" t="s">
        <v>38</v>
      </c>
      <c r="B3" s="170" t="s">
        <v>36</v>
      </c>
      <c r="C3" s="170"/>
      <c r="D3" s="173" t="s">
        <v>65</v>
      </c>
      <c r="E3" s="173"/>
      <c r="F3" s="170" t="s">
        <v>35</v>
      </c>
      <c r="G3" s="170"/>
      <c r="H3" s="173" t="s">
        <v>66</v>
      </c>
      <c r="I3" s="173"/>
      <c r="J3" s="170" t="s">
        <v>70</v>
      </c>
      <c r="K3" s="170"/>
      <c r="L3" s="90" t="s">
        <v>53</v>
      </c>
      <c r="M3" s="90" t="s">
        <v>71</v>
      </c>
      <c r="N3" s="90" t="s">
        <v>34</v>
      </c>
    </row>
    <row r="4" spans="1:18" s="77" customFormat="1" ht="10.5" x14ac:dyDescent="0.2">
      <c r="A4" s="175"/>
      <c r="B4" s="89" t="s">
        <v>59</v>
      </c>
      <c r="C4" s="89" t="s">
        <v>57</v>
      </c>
      <c r="D4" s="90" t="s">
        <v>69</v>
      </c>
      <c r="E4" s="90" t="s">
        <v>57</v>
      </c>
      <c r="F4" s="89" t="s">
        <v>58</v>
      </c>
      <c r="G4" s="89" t="s">
        <v>57</v>
      </c>
      <c r="H4" s="90" t="s">
        <v>58</v>
      </c>
      <c r="I4" s="90" t="s">
        <v>57</v>
      </c>
      <c r="J4" s="89" t="s">
        <v>58</v>
      </c>
      <c r="K4" s="89" t="s">
        <v>57</v>
      </c>
      <c r="L4" s="90" t="s">
        <v>57</v>
      </c>
      <c r="M4" s="90" t="s">
        <v>57</v>
      </c>
      <c r="N4" s="90" t="s">
        <v>57</v>
      </c>
    </row>
    <row r="5" spans="1:18" s="31" customFormat="1" ht="12.75" customHeight="1" x14ac:dyDescent="0.2">
      <c r="A5" s="176"/>
      <c r="B5" s="88" t="s">
        <v>60</v>
      </c>
      <c r="C5" s="88" t="s">
        <v>61</v>
      </c>
      <c r="D5" s="88" t="s">
        <v>62</v>
      </c>
      <c r="E5" s="88" t="s">
        <v>61</v>
      </c>
      <c r="F5" s="88" t="s">
        <v>63</v>
      </c>
      <c r="G5" s="88" t="s">
        <v>61</v>
      </c>
      <c r="H5" s="88" t="s">
        <v>63</v>
      </c>
      <c r="I5" s="88" t="s">
        <v>61</v>
      </c>
      <c r="J5" s="88" t="s">
        <v>64</v>
      </c>
      <c r="K5" s="88" t="s">
        <v>61</v>
      </c>
      <c r="L5" s="88" t="s">
        <v>61</v>
      </c>
      <c r="M5" s="88" t="s">
        <v>61</v>
      </c>
      <c r="N5" s="88" t="s">
        <v>61</v>
      </c>
    </row>
    <row r="6" spans="1:18" s="5" customFormat="1" ht="11.25" customHeight="1" x14ac:dyDescent="0.2">
      <c r="A6" s="38" t="s">
        <v>0</v>
      </c>
      <c r="B6" s="14">
        <v>2883</v>
      </c>
      <c r="C6" s="14">
        <v>1638.5889999999999</v>
      </c>
      <c r="D6" s="14">
        <v>5727</v>
      </c>
      <c r="E6" s="14">
        <v>5735.7190000000001</v>
      </c>
      <c r="F6" s="15">
        <v>456</v>
      </c>
      <c r="G6" s="15">
        <v>579.33500000000004</v>
      </c>
      <c r="H6" s="14">
        <v>176323.12</v>
      </c>
      <c r="I6" s="14">
        <v>208155.9</v>
      </c>
      <c r="J6" s="14">
        <v>12928</v>
      </c>
      <c r="K6" s="14">
        <v>13587.522999999999</v>
      </c>
      <c r="L6" s="14">
        <v>21671.258000000002</v>
      </c>
      <c r="M6" s="14">
        <v>180156</v>
      </c>
      <c r="N6" s="16">
        <v>431525.32399999996</v>
      </c>
      <c r="O6" s="59"/>
      <c r="P6" s="25"/>
      <c r="Q6" s="29"/>
      <c r="R6" s="28"/>
    </row>
    <row r="7" spans="1:18" s="5" customFormat="1" ht="11.25" customHeight="1" x14ac:dyDescent="0.2">
      <c r="A7" s="38" t="s">
        <v>1</v>
      </c>
      <c r="B7" s="15" t="s">
        <v>28</v>
      </c>
      <c r="C7" s="15" t="s">
        <v>28</v>
      </c>
      <c r="D7" s="15" t="s">
        <v>28</v>
      </c>
      <c r="E7" s="15" t="s">
        <v>28</v>
      </c>
      <c r="F7" s="15" t="s">
        <v>28</v>
      </c>
      <c r="G7" s="15" t="s">
        <v>28</v>
      </c>
      <c r="H7" s="14">
        <v>2093.5219999999999</v>
      </c>
      <c r="I7" s="14">
        <v>4382.8379999999997</v>
      </c>
      <c r="J7" s="15">
        <v>1</v>
      </c>
      <c r="K7" s="15">
        <v>4.0919999999999996</v>
      </c>
      <c r="L7" s="14">
        <v>4.915</v>
      </c>
      <c r="M7" s="14">
        <v>423.45699999999999</v>
      </c>
      <c r="N7" s="16">
        <v>4815.3019999999997</v>
      </c>
      <c r="O7" s="1"/>
      <c r="P7" s="25"/>
      <c r="Q7" s="29"/>
      <c r="R7" s="60"/>
    </row>
    <row r="8" spans="1:18" s="5" customFormat="1" ht="11.25" customHeight="1" x14ac:dyDescent="0.2">
      <c r="A8" s="38" t="s">
        <v>2</v>
      </c>
      <c r="B8" s="15" t="s">
        <v>28</v>
      </c>
      <c r="C8" s="15"/>
      <c r="D8" s="15" t="s">
        <v>28</v>
      </c>
      <c r="E8" s="15" t="s">
        <v>28</v>
      </c>
      <c r="F8" s="15" t="s">
        <v>28</v>
      </c>
      <c r="G8" s="15" t="s">
        <v>28</v>
      </c>
      <c r="H8" s="14">
        <v>7023.3680000000004</v>
      </c>
      <c r="I8" s="14">
        <v>13598.395</v>
      </c>
      <c r="J8" s="15">
        <v>118</v>
      </c>
      <c r="K8" s="15">
        <v>118.489</v>
      </c>
      <c r="L8" s="15">
        <v>280.07299999999998</v>
      </c>
      <c r="M8" s="14">
        <v>2275.6489999999999</v>
      </c>
      <c r="N8" s="16">
        <v>16271.606</v>
      </c>
      <c r="O8" s="10"/>
      <c r="P8" s="25"/>
      <c r="Q8" s="29"/>
      <c r="R8" s="60"/>
    </row>
    <row r="9" spans="1:18" s="5" customFormat="1" ht="11.25" customHeight="1" x14ac:dyDescent="0.2">
      <c r="A9" s="38" t="s">
        <v>3</v>
      </c>
      <c r="B9" s="15" t="s">
        <v>28</v>
      </c>
      <c r="C9" s="15" t="s">
        <v>28</v>
      </c>
      <c r="D9" s="15">
        <v>108</v>
      </c>
      <c r="E9" s="15">
        <v>137.44900000000001</v>
      </c>
      <c r="F9" s="15" t="s">
        <v>28</v>
      </c>
      <c r="G9" s="15" t="s">
        <v>28</v>
      </c>
      <c r="H9" s="15">
        <v>973.48900000000003</v>
      </c>
      <c r="I9" s="15">
        <v>1075.105</v>
      </c>
      <c r="J9" s="14">
        <v>16</v>
      </c>
      <c r="K9" s="14">
        <v>20.023</v>
      </c>
      <c r="L9" s="14">
        <v>29.381</v>
      </c>
      <c r="M9" s="14">
        <v>1888.8889999999999</v>
      </c>
      <c r="N9" s="16">
        <v>3149.8470000000002</v>
      </c>
      <c r="O9" s="10"/>
      <c r="P9" s="25"/>
      <c r="Q9" s="29"/>
      <c r="R9" s="60"/>
    </row>
    <row r="10" spans="1:18" s="30" customFormat="1" ht="11.25" customHeight="1" x14ac:dyDescent="0.2">
      <c r="A10" s="40" t="s">
        <v>29</v>
      </c>
      <c r="B10" s="17" t="s">
        <v>28</v>
      </c>
      <c r="C10" s="17" t="s">
        <v>28</v>
      </c>
      <c r="D10" s="18">
        <v>2</v>
      </c>
      <c r="E10" s="18">
        <v>4.6390000000000002</v>
      </c>
      <c r="F10" s="17" t="s">
        <v>28</v>
      </c>
      <c r="G10" s="17" t="s">
        <v>28</v>
      </c>
      <c r="H10" s="18">
        <v>3231.9769999999999</v>
      </c>
      <c r="I10" s="18">
        <v>14693.601000000001</v>
      </c>
      <c r="J10" s="18">
        <v>47</v>
      </c>
      <c r="K10" s="18">
        <v>30.856000000000002</v>
      </c>
      <c r="L10" s="18">
        <v>794.84299999999996</v>
      </c>
      <c r="M10" s="18">
        <v>7559.0559999999996</v>
      </c>
      <c r="N10" s="16">
        <v>23083.994999999999</v>
      </c>
      <c r="O10" s="62"/>
      <c r="P10" s="62"/>
      <c r="Q10" s="63"/>
      <c r="R10" s="64"/>
    </row>
    <row r="11" spans="1:18" s="5" customFormat="1" ht="11.25" customHeight="1" x14ac:dyDescent="0.2">
      <c r="A11" s="38" t="s">
        <v>4</v>
      </c>
      <c r="B11" s="15">
        <v>37</v>
      </c>
      <c r="C11" s="15">
        <v>53.936999999999998</v>
      </c>
      <c r="D11" s="14">
        <v>18010</v>
      </c>
      <c r="E11" s="14">
        <v>29234.973000000002</v>
      </c>
      <c r="F11" s="15">
        <v>287</v>
      </c>
      <c r="G11" s="15">
        <v>319.24799999999999</v>
      </c>
      <c r="H11" s="14">
        <v>984.31200000000001</v>
      </c>
      <c r="I11" s="14">
        <v>2205.1619999999998</v>
      </c>
      <c r="J11" s="14">
        <v>160</v>
      </c>
      <c r="K11" s="14">
        <v>1158.9949999999999</v>
      </c>
      <c r="L11" s="14">
        <v>297.86799999999999</v>
      </c>
      <c r="M11" s="14">
        <v>3790.902</v>
      </c>
      <c r="N11" s="16">
        <v>37061.084999999999</v>
      </c>
      <c r="O11" s="10"/>
      <c r="P11" s="25"/>
      <c r="Q11" s="29"/>
      <c r="R11" s="60"/>
    </row>
    <row r="12" spans="1:18" s="30" customFormat="1" ht="11.25" customHeight="1" x14ac:dyDescent="0.2">
      <c r="A12" s="40" t="s">
        <v>40</v>
      </c>
      <c r="B12" s="17" t="s">
        <v>28</v>
      </c>
      <c r="C12" s="17" t="s">
        <v>28</v>
      </c>
      <c r="D12" s="18">
        <v>70</v>
      </c>
      <c r="E12" s="18">
        <v>89.344999999999999</v>
      </c>
      <c r="F12" s="17" t="s">
        <v>28</v>
      </c>
      <c r="G12" s="17" t="s">
        <v>28</v>
      </c>
      <c r="H12" s="18">
        <v>1115.616</v>
      </c>
      <c r="I12" s="18">
        <v>2422.1660000000002</v>
      </c>
      <c r="J12" s="15">
        <v>27</v>
      </c>
      <c r="K12" s="18">
        <v>7.0449999999999999</v>
      </c>
      <c r="L12" s="18">
        <v>6549.4669999999996</v>
      </c>
      <c r="M12" s="18">
        <v>17085.992999999999</v>
      </c>
      <c r="N12" s="16">
        <v>26153.016</v>
      </c>
      <c r="O12" s="62"/>
      <c r="P12" s="62"/>
      <c r="Q12" s="63"/>
      <c r="R12" s="64"/>
    </row>
    <row r="13" spans="1:18" s="30" customFormat="1" ht="11.25" customHeight="1" x14ac:dyDescent="0.2">
      <c r="A13" s="40" t="s">
        <v>5</v>
      </c>
      <c r="B13" s="17" t="s">
        <v>28</v>
      </c>
      <c r="C13" s="17" t="s">
        <v>28</v>
      </c>
      <c r="D13" s="17">
        <v>4</v>
      </c>
      <c r="E13" s="17">
        <v>1.7709999999999999</v>
      </c>
      <c r="F13" s="17" t="s">
        <v>28</v>
      </c>
      <c r="G13" s="17" t="s">
        <v>28</v>
      </c>
      <c r="H13" s="18">
        <v>181.316</v>
      </c>
      <c r="I13" s="18">
        <v>496.42899999999997</v>
      </c>
      <c r="J13" s="15" t="s">
        <v>28</v>
      </c>
      <c r="K13" s="15" t="s">
        <v>28</v>
      </c>
      <c r="L13" s="18">
        <v>920.51199999999994</v>
      </c>
      <c r="M13" s="18">
        <v>4011.0450000000001</v>
      </c>
      <c r="N13" s="16">
        <v>5429.7569999999996</v>
      </c>
      <c r="O13" s="62"/>
      <c r="P13" s="62"/>
      <c r="Q13" s="63"/>
      <c r="R13" s="64"/>
    </row>
    <row r="14" spans="1:18" s="5" customFormat="1" ht="11.25" customHeight="1" x14ac:dyDescent="0.2">
      <c r="A14" s="38" t="s">
        <v>6</v>
      </c>
      <c r="B14" s="15" t="s">
        <v>28</v>
      </c>
      <c r="C14" s="15" t="s">
        <v>28</v>
      </c>
      <c r="D14" s="14">
        <v>3427</v>
      </c>
      <c r="E14" s="14">
        <v>3120.4209999999998</v>
      </c>
      <c r="F14" s="15" t="s">
        <v>28</v>
      </c>
      <c r="G14" s="15" t="s">
        <v>28</v>
      </c>
      <c r="H14" s="15" t="s">
        <v>28</v>
      </c>
      <c r="I14" s="15" t="s">
        <v>28</v>
      </c>
      <c r="J14" s="14">
        <v>958</v>
      </c>
      <c r="K14" s="14">
        <v>1120.6500000000001</v>
      </c>
      <c r="L14" s="19">
        <v>874.38400000000001</v>
      </c>
      <c r="M14" s="14">
        <v>688.77800000000002</v>
      </c>
      <c r="N14" s="16">
        <v>5804.2330000000002</v>
      </c>
      <c r="O14" s="10"/>
      <c r="P14" s="25"/>
      <c r="Q14" s="29"/>
      <c r="R14" s="60"/>
    </row>
    <row r="15" spans="1:18" s="5" customFormat="1" ht="11.25" customHeight="1" x14ac:dyDescent="0.2">
      <c r="A15" s="38" t="s">
        <v>7</v>
      </c>
      <c r="B15" s="15" t="s">
        <v>28</v>
      </c>
      <c r="C15" s="15" t="s">
        <v>28</v>
      </c>
      <c r="D15" s="15">
        <v>171</v>
      </c>
      <c r="E15" s="15">
        <v>127.125</v>
      </c>
      <c r="F15" s="15" t="s">
        <v>28</v>
      </c>
      <c r="G15" s="15" t="s">
        <v>28</v>
      </c>
      <c r="H15" s="14">
        <v>19029.956999999999</v>
      </c>
      <c r="I15" s="14">
        <v>34386.86</v>
      </c>
      <c r="J15" s="15">
        <v>6</v>
      </c>
      <c r="K15" s="19">
        <v>28.797999999999998</v>
      </c>
      <c r="L15" s="19">
        <v>100.23699999999999</v>
      </c>
      <c r="M15" s="14">
        <v>1574.144</v>
      </c>
      <c r="N15" s="16">
        <v>36217.164000000004</v>
      </c>
      <c r="O15" s="10"/>
      <c r="P15" s="25"/>
      <c r="Q15" s="29"/>
      <c r="R15" s="60"/>
    </row>
    <row r="16" spans="1:18" s="5" customFormat="1" ht="11.25" customHeight="1" x14ac:dyDescent="0.2">
      <c r="A16" s="38" t="s">
        <v>8</v>
      </c>
      <c r="B16" s="15" t="s">
        <v>28</v>
      </c>
      <c r="C16" s="15" t="s">
        <v>28</v>
      </c>
      <c r="D16" s="15" t="s">
        <v>28</v>
      </c>
      <c r="E16" s="15" t="s">
        <v>28</v>
      </c>
      <c r="F16" s="15">
        <v>22</v>
      </c>
      <c r="G16" s="15">
        <v>27.079000000000001</v>
      </c>
      <c r="H16" s="14">
        <v>853.21900000000005</v>
      </c>
      <c r="I16" s="14">
        <v>3598.2080000000001</v>
      </c>
      <c r="J16" s="15">
        <v>41</v>
      </c>
      <c r="K16" s="19">
        <v>92.537000000000006</v>
      </c>
      <c r="L16" s="19">
        <v>1477.3630000000001</v>
      </c>
      <c r="M16" s="14">
        <v>22222.616000000002</v>
      </c>
      <c r="N16" s="20">
        <v>27417.803000000004</v>
      </c>
      <c r="O16" s="10"/>
      <c r="P16" s="25"/>
      <c r="Q16" s="29"/>
      <c r="R16" s="60"/>
    </row>
    <row r="17" spans="1:18" s="5" customFormat="1" ht="11.25" customHeight="1" x14ac:dyDescent="0.2">
      <c r="A17" s="41" t="s">
        <v>9</v>
      </c>
      <c r="B17" s="15" t="s">
        <v>28</v>
      </c>
      <c r="C17" s="15">
        <v>2.52</v>
      </c>
      <c r="D17" s="15" t="s">
        <v>28</v>
      </c>
      <c r="E17" s="15" t="s">
        <v>28</v>
      </c>
      <c r="F17" s="15">
        <v>102</v>
      </c>
      <c r="G17" s="15">
        <v>340.95699999999999</v>
      </c>
      <c r="H17" s="14">
        <v>16583.055</v>
      </c>
      <c r="I17" s="14">
        <v>36969.016000000003</v>
      </c>
      <c r="J17" s="14">
        <v>78</v>
      </c>
      <c r="K17" s="14">
        <v>669.43299999999999</v>
      </c>
      <c r="L17" s="14">
        <v>976.27300000000002</v>
      </c>
      <c r="M17" s="14">
        <v>14729.498</v>
      </c>
      <c r="N17" s="16">
        <v>53686.697</v>
      </c>
      <c r="O17" s="10"/>
      <c r="P17" s="25"/>
      <c r="Q17" s="67"/>
      <c r="R17" s="60"/>
    </row>
    <row r="18" spans="1:18" s="5" customFormat="1" ht="11.25" customHeight="1" x14ac:dyDescent="0.2">
      <c r="A18" s="38" t="s">
        <v>41</v>
      </c>
      <c r="B18" s="15" t="s">
        <v>28</v>
      </c>
      <c r="C18" s="15" t="s">
        <v>28</v>
      </c>
      <c r="D18" s="15">
        <v>200</v>
      </c>
      <c r="E18" s="15">
        <v>49.956000000000003</v>
      </c>
      <c r="F18" s="15" t="s">
        <v>28</v>
      </c>
      <c r="G18" s="15" t="s">
        <v>28</v>
      </c>
      <c r="H18" s="14">
        <v>5.0759999999999996</v>
      </c>
      <c r="I18" s="14">
        <v>105.089</v>
      </c>
      <c r="J18" s="15" t="s">
        <v>28</v>
      </c>
      <c r="K18" s="15" t="s">
        <v>28</v>
      </c>
      <c r="L18" s="15">
        <v>196.874</v>
      </c>
      <c r="M18" s="14">
        <v>2123.6410000000001</v>
      </c>
      <c r="N18" s="16">
        <v>2475.56</v>
      </c>
      <c r="O18" s="10"/>
      <c r="P18" s="25"/>
      <c r="Q18" s="29"/>
      <c r="R18" s="60"/>
    </row>
    <row r="19" spans="1:18" s="30" customFormat="1" ht="11.25" customHeight="1" x14ac:dyDescent="0.2">
      <c r="A19" s="40" t="s">
        <v>10</v>
      </c>
      <c r="B19" s="17" t="s">
        <v>28</v>
      </c>
      <c r="C19" s="17" t="s">
        <v>28</v>
      </c>
      <c r="D19" s="17" t="s">
        <v>28</v>
      </c>
      <c r="E19" s="17" t="s">
        <v>28</v>
      </c>
      <c r="F19" s="17" t="s">
        <v>28</v>
      </c>
      <c r="G19" s="17" t="s">
        <v>28</v>
      </c>
      <c r="H19" s="18">
        <v>307.71699999999998</v>
      </c>
      <c r="I19" s="18">
        <v>476.01</v>
      </c>
      <c r="J19" s="17" t="s">
        <v>28</v>
      </c>
      <c r="K19" s="17" t="s">
        <v>28</v>
      </c>
      <c r="L19" s="17">
        <v>719.23699999999997</v>
      </c>
      <c r="M19" s="18">
        <v>1011.438</v>
      </c>
      <c r="N19" s="16">
        <v>2205.6849999999999</v>
      </c>
      <c r="O19" s="62"/>
      <c r="P19" s="62"/>
      <c r="Q19" s="63"/>
      <c r="R19" s="64"/>
    </row>
    <row r="20" spans="1:18" s="5" customFormat="1" ht="11.25" customHeight="1" x14ac:dyDescent="0.2">
      <c r="A20" s="38" t="s">
        <v>11</v>
      </c>
      <c r="B20" s="15" t="s">
        <v>28</v>
      </c>
      <c r="C20" s="15" t="s">
        <v>28</v>
      </c>
      <c r="D20" s="14">
        <v>1233</v>
      </c>
      <c r="E20" s="14">
        <v>1841.2360000000001</v>
      </c>
      <c r="F20" s="15" t="s">
        <v>28</v>
      </c>
      <c r="G20" s="15" t="s">
        <v>28</v>
      </c>
      <c r="H20" s="14">
        <v>26371.775000000001</v>
      </c>
      <c r="I20" s="14">
        <v>37652.542999999998</v>
      </c>
      <c r="J20" s="14">
        <v>1275</v>
      </c>
      <c r="K20" s="14">
        <v>1747.1489999999999</v>
      </c>
      <c r="L20" s="14">
        <v>11872.706</v>
      </c>
      <c r="M20" s="14">
        <v>29770.312000000002</v>
      </c>
      <c r="N20" s="16">
        <v>82883.945999999996</v>
      </c>
      <c r="O20" s="10"/>
      <c r="P20" s="25"/>
      <c r="Q20" s="29"/>
      <c r="R20" s="60"/>
    </row>
    <row r="21" spans="1:18" s="5" customFormat="1" ht="11.25" customHeight="1" x14ac:dyDescent="0.2">
      <c r="A21" s="38" t="s">
        <v>12</v>
      </c>
      <c r="B21" s="15" t="s">
        <v>28</v>
      </c>
      <c r="C21" s="15" t="s">
        <v>28</v>
      </c>
      <c r="D21" s="15">
        <v>211</v>
      </c>
      <c r="E21" s="15">
        <v>356.84399999999999</v>
      </c>
      <c r="F21" s="15" t="s">
        <v>28</v>
      </c>
      <c r="G21" s="15" t="s">
        <v>28</v>
      </c>
      <c r="H21" s="14">
        <v>8133.8339999999998</v>
      </c>
      <c r="I21" s="14">
        <v>17048.007000000001</v>
      </c>
      <c r="J21" s="15">
        <v>4</v>
      </c>
      <c r="K21" s="15">
        <v>11.414</v>
      </c>
      <c r="L21" s="15">
        <v>8652.2939999999999</v>
      </c>
      <c r="M21" s="14">
        <v>3903.5709999999999</v>
      </c>
      <c r="N21" s="16">
        <v>29972.13</v>
      </c>
      <c r="O21" s="10"/>
      <c r="P21" s="25"/>
      <c r="Q21" s="29"/>
      <c r="R21" s="60"/>
    </row>
    <row r="22" spans="1:18" s="5" customFormat="1" ht="11.25" customHeight="1" x14ac:dyDescent="0.2">
      <c r="A22" s="38" t="s">
        <v>13</v>
      </c>
      <c r="B22" s="15" t="s">
        <v>28</v>
      </c>
      <c r="C22" s="15" t="s">
        <v>28</v>
      </c>
      <c r="D22" s="15" t="s">
        <v>28</v>
      </c>
      <c r="E22" s="15" t="s">
        <v>28</v>
      </c>
      <c r="F22" s="15">
        <v>15</v>
      </c>
      <c r="G22" s="15">
        <v>45.683999999999997</v>
      </c>
      <c r="H22" s="14">
        <v>17459.550999999999</v>
      </c>
      <c r="I22" s="14">
        <v>39663.83</v>
      </c>
      <c r="J22" s="15" t="s">
        <v>28</v>
      </c>
      <c r="K22" s="15" t="s">
        <v>28</v>
      </c>
      <c r="L22" s="15">
        <v>51.203000000000003</v>
      </c>
      <c r="M22" s="14">
        <v>3781.9090000000001</v>
      </c>
      <c r="N22" s="16">
        <v>43542.626000000004</v>
      </c>
      <c r="O22" s="68"/>
      <c r="P22" s="25"/>
      <c r="Q22" s="29"/>
      <c r="R22" s="60"/>
    </row>
    <row r="23" spans="1:18" s="5" customFormat="1" ht="11.25" customHeight="1" x14ac:dyDescent="0.2">
      <c r="A23" s="41" t="s">
        <v>42</v>
      </c>
      <c r="B23" s="15" t="s">
        <v>28</v>
      </c>
      <c r="C23" s="19" t="s">
        <v>28</v>
      </c>
      <c r="D23" s="15" t="s">
        <v>28</v>
      </c>
      <c r="E23" s="15" t="s">
        <v>28</v>
      </c>
      <c r="F23" s="15" t="s">
        <v>28</v>
      </c>
      <c r="G23" s="15" t="s">
        <v>28</v>
      </c>
      <c r="H23" s="14">
        <v>10969</v>
      </c>
      <c r="I23" s="14">
        <v>18892.28</v>
      </c>
      <c r="J23" s="15">
        <v>1</v>
      </c>
      <c r="K23" s="15">
        <v>2.1850000000000001</v>
      </c>
      <c r="L23" s="15">
        <v>35.994999999999997</v>
      </c>
      <c r="M23" s="14">
        <v>1831.1679999999999</v>
      </c>
      <c r="N23" s="16">
        <v>20760.627999999997</v>
      </c>
      <c r="O23" s="10"/>
      <c r="P23" s="25"/>
      <c r="Q23" s="67"/>
      <c r="R23" s="60"/>
    </row>
    <row r="24" spans="1:18" s="5" customFormat="1" ht="11.25" customHeight="1" x14ac:dyDescent="0.2">
      <c r="A24" s="38" t="s">
        <v>14</v>
      </c>
      <c r="B24" s="15" t="s">
        <v>28</v>
      </c>
      <c r="C24" s="19" t="s">
        <v>28</v>
      </c>
      <c r="D24" s="14">
        <v>257</v>
      </c>
      <c r="E24" s="14">
        <v>348.64699999999999</v>
      </c>
      <c r="F24" s="15" t="s">
        <v>28</v>
      </c>
      <c r="G24" s="15" t="s">
        <v>28</v>
      </c>
      <c r="H24" s="14">
        <v>804.25699999999995</v>
      </c>
      <c r="I24" s="14">
        <v>2484.877</v>
      </c>
      <c r="J24" s="14">
        <v>1747</v>
      </c>
      <c r="K24" s="14">
        <v>1862.5450000000001</v>
      </c>
      <c r="L24" s="14">
        <v>30120.639999999999</v>
      </c>
      <c r="M24" s="14">
        <v>8899.5110000000004</v>
      </c>
      <c r="N24" s="16">
        <v>43718.22</v>
      </c>
      <c r="O24" s="10"/>
      <c r="P24" s="25"/>
      <c r="Q24" s="29"/>
      <c r="R24" s="60"/>
    </row>
    <row r="25" spans="1:18" s="5" customFormat="1" ht="11.25" customHeight="1" x14ac:dyDescent="0.2">
      <c r="A25" s="38" t="s">
        <v>16</v>
      </c>
      <c r="B25" s="15" t="s">
        <v>28</v>
      </c>
      <c r="C25" s="15" t="s">
        <v>28</v>
      </c>
      <c r="D25" s="15" t="s">
        <v>28</v>
      </c>
      <c r="E25" s="15" t="s">
        <v>28</v>
      </c>
      <c r="F25" s="15" t="s">
        <v>28</v>
      </c>
      <c r="G25" s="15" t="s">
        <v>28</v>
      </c>
      <c r="H25" s="14">
        <v>2041.271</v>
      </c>
      <c r="I25" s="14">
        <v>3561.2429999999999</v>
      </c>
      <c r="J25" s="15" t="s">
        <v>28</v>
      </c>
      <c r="K25" s="15" t="s">
        <v>28</v>
      </c>
      <c r="L25" s="14">
        <v>737.68899999999996</v>
      </c>
      <c r="M25" s="14">
        <v>6511.9520000000002</v>
      </c>
      <c r="N25" s="16">
        <v>10810.884</v>
      </c>
      <c r="O25" s="68"/>
      <c r="P25" s="25"/>
      <c r="Q25" s="29"/>
      <c r="R25" s="60"/>
    </row>
    <row r="26" spans="1:18" s="5" customFormat="1" ht="11.25" customHeight="1" x14ac:dyDescent="0.2">
      <c r="A26" s="38" t="s">
        <v>17</v>
      </c>
      <c r="B26" s="15" t="s">
        <v>28</v>
      </c>
      <c r="C26" s="15" t="s">
        <v>28</v>
      </c>
      <c r="D26" s="15" t="s">
        <v>28</v>
      </c>
      <c r="E26" s="15" t="s">
        <v>28</v>
      </c>
      <c r="F26" s="15" t="s">
        <v>28</v>
      </c>
      <c r="G26" s="15" t="s">
        <v>28</v>
      </c>
      <c r="H26" s="14">
        <v>1113.364</v>
      </c>
      <c r="I26" s="14">
        <v>2175.482</v>
      </c>
      <c r="J26" s="15">
        <v>2</v>
      </c>
      <c r="K26" s="15">
        <v>1.173</v>
      </c>
      <c r="L26" s="15">
        <v>22.375</v>
      </c>
      <c r="M26" s="14">
        <v>472.40199999999999</v>
      </c>
      <c r="N26" s="16">
        <v>2670.4319999999998</v>
      </c>
      <c r="O26" s="10"/>
      <c r="P26" s="25"/>
      <c r="Q26" s="29"/>
      <c r="R26" s="60"/>
    </row>
    <row r="27" spans="1:18" s="5" customFormat="1" ht="11.25" customHeight="1" x14ac:dyDescent="0.2">
      <c r="A27" s="38" t="s">
        <v>18</v>
      </c>
      <c r="B27" s="15">
        <v>485</v>
      </c>
      <c r="C27" s="15">
        <v>503.69200000000001</v>
      </c>
      <c r="D27" s="14">
        <v>1775</v>
      </c>
      <c r="E27" s="14">
        <v>1700.8340000000001</v>
      </c>
      <c r="F27" s="15" t="s">
        <v>28</v>
      </c>
      <c r="G27" s="15" t="s">
        <v>28</v>
      </c>
      <c r="H27" s="15" t="s">
        <v>28</v>
      </c>
      <c r="I27" s="15" t="s">
        <v>28</v>
      </c>
      <c r="J27" s="15">
        <v>4</v>
      </c>
      <c r="K27" s="15">
        <v>5.3360000000000003</v>
      </c>
      <c r="L27" s="15" t="s">
        <v>28</v>
      </c>
      <c r="M27" s="14">
        <v>1136.4359999999999</v>
      </c>
      <c r="N27" s="16">
        <v>3346.2979999999998</v>
      </c>
      <c r="O27" s="10"/>
      <c r="P27" s="25"/>
      <c r="Q27" s="29"/>
      <c r="R27" s="60"/>
    </row>
    <row r="28" spans="1:18" s="5" customFormat="1" ht="11.25" customHeight="1" x14ac:dyDescent="0.2">
      <c r="A28" s="38" t="s">
        <v>19</v>
      </c>
      <c r="B28" s="15" t="s">
        <v>28</v>
      </c>
      <c r="C28" s="15" t="s">
        <v>28</v>
      </c>
      <c r="D28" s="15" t="s">
        <v>28</v>
      </c>
      <c r="E28" s="15" t="s">
        <v>28</v>
      </c>
      <c r="F28" s="15" t="s">
        <v>28</v>
      </c>
      <c r="G28" s="15" t="s">
        <v>28</v>
      </c>
      <c r="H28" s="15">
        <v>1.3089999999999999</v>
      </c>
      <c r="I28" s="15">
        <v>13.412000000000001</v>
      </c>
      <c r="J28" s="15" t="s">
        <v>28</v>
      </c>
      <c r="K28" s="15" t="s">
        <v>28</v>
      </c>
      <c r="L28" s="15">
        <v>369.71</v>
      </c>
      <c r="M28" s="14">
        <v>1243.0820000000001</v>
      </c>
      <c r="N28" s="16">
        <v>1626.2040000000002</v>
      </c>
      <c r="O28" s="10"/>
      <c r="P28" s="25"/>
      <c r="Q28" s="29"/>
      <c r="R28" s="60"/>
    </row>
    <row r="29" spans="1:18" s="5" customFormat="1" ht="11.25" customHeight="1" x14ac:dyDescent="0.2">
      <c r="A29" s="38" t="s">
        <v>20</v>
      </c>
      <c r="B29" s="15" t="s">
        <v>28</v>
      </c>
      <c r="C29" s="15" t="s">
        <v>28</v>
      </c>
      <c r="D29" s="15" t="s">
        <v>28</v>
      </c>
      <c r="E29" s="15" t="s">
        <v>28</v>
      </c>
      <c r="F29" s="15" t="s">
        <v>28</v>
      </c>
      <c r="G29" s="15" t="s">
        <v>28</v>
      </c>
      <c r="H29" s="15" t="s">
        <v>28</v>
      </c>
      <c r="I29" s="15" t="s">
        <v>28</v>
      </c>
      <c r="J29" s="15">
        <v>16</v>
      </c>
      <c r="K29" s="15">
        <v>90.748000000000005</v>
      </c>
      <c r="L29" s="15">
        <v>1.673</v>
      </c>
      <c r="M29" s="14">
        <v>14396.286</v>
      </c>
      <c r="N29" s="16">
        <v>14488.707</v>
      </c>
      <c r="O29" s="10"/>
      <c r="P29" s="25"/>
      <c r="Q29" s="29"/>
      <c r="R29" s="60"/>
    </row>
    <row r="30" spans="1:18" s="5" customFormat="1" ht="11.25" customHeight="1" x14ac:dyDescent="0.2">
      <c r="A30" s="38" t="s">
        <v>21</v>
      </c>
      <c r="B30" s="15" t="s">
        <v>28</v>
      </c>
      <c r="C30" s="15" t="s">
        <v>28</v>
      </c>
      <c r="D30" s="14">
        <v>52</v>
      </c>
      <c r="E30" s="14">
        <v>123.2</v>
      </c>
      <c r="F30" s="15" t="s">
        <v>28</v>
      </c>
      <c r="G30" s="15" t="s">
        <v>28</v>
      </c>
      <c r="H30" s="14">
        <v>2338.2440000000001</v>
      </c>
      <c r="I30" s="14">
        <v>13532.132</v>
      </c>
      <c r="J30" s="14">
        <v>1045</v>
      </c>
      <c r="K30" s="14">
        <v>928.04100000000005</v>
      </c>
      <c r="L30" s="14">
        <v>73.509</v>
      </c>
      <c r="M30" s="14">
        <v>1295.2470000000001</v>
      </c>
      <c r="N30" s="16">
        <v>15952.129000000001</v>
      </c>
      <c r="O30" s="1"/>
      <c r="P30" s="25"/>
      <c r="Q30" s="29"/>
      <c r="R30" s="60"/>
    </row>
    <row r="31" spans="1:18" s="5" customFormat="1" ht="11.25" customHeight="1" x14ac:dyDescent="0.2">
      <c r="A31" s="38" t="s">
        <v>22</v>
      </c>
      <c r="B31" s="15" t="s">
        <v>28</v>
      </c>
      <c r="C31" s="15" t="s">
        <v>28</v>
      </c>
      <c r="D31" s="15">
        <v>51</v>
      </c>
      <c r="E31" s="15">
        <v>57.564</v>
      </c>
      <c r="F31" s="15" t="s">
        <v>28</v>
      </c>
      <c r="G31" s="15" t="s">
        <v>28</v>
      </c>
      <c r="H31" s="15">
        <v>1107.925</v>
      </c>
      <c r="I31" s="15">
        <v>1839.9559999999999</v>
      </c>
      <c r="J31" s="15">
        <v>96</v>
      </c>
      <c r="K31" s="15">
        <v>275.64100000000002</v>
      </c>
      <c r="L31" s="15">
        <v>223.59</v>
      </c>
      <c r="M31" s="15">
        <v>6334.9639999999999</v>
      </c>
      <c r="N31" s="16">
        <v>8732.7150000000001</v>
      </c>
      <c r="O31" s="10"/>
      <c r="P31" s="25"/>
      <c r="Q31" s="29"/>
      <c r="R31" s="60"/>
    </row>
    <row r="32" spans="1:18" s="30" customFormat="1" ht="11.25" customHeight="1" x14ac:dyDescent="0.2">
      <c r="A32" s="40" t="s">
        <v>23</v>
      </c>
      <c r="B32" s="17" t="s">
        <v>28</v>
      </c>
      <c r="C32" s="17" t="s">
        <v>28</v>
      </c>
      <c r="D32" s="17" t="s">
        <v>28</v>
      </c>
      <c r="E32" s="17" t="s">
        <v>28</v>
      </c>
      <c r="F32" s="17" t="s">
        <v>28</v>
      </c>
      <c r="G32" s="17" t="s">
        <v>28</v>
      </c>
      <c r="H32" s="17">
        <v>730.24199999999996</v>
      </c>
      <c r="I32" s="17">
        <v>2579.5639999999999</v>
      </c>
      <c r="J32" s="17">
        <v>4</v>
      </c>
      <c r="K32" s="17">
        <v>44.066000000000003</v>
      </c>
      <c r="L32" s="17">
        <v>438.19499999999999</v>
      </c>
      <c r="M32" s="17">
        <v>1073.3969999999999</v>
      </c>
      <c r="N32" s="16">
        <v>4135.2219999999998</v>
      </c>
      <c r="O32" s="62"/>
      <c r="P32" s="62"/>
      <c r="Q32" s="63"/>
      <c r="R32" s="64"/>
    </row>
    <row r="33" spans="1:18" s="5" customFormat="1" ht="11.25" customHeight="1" x14ac:dyDescent="0.2">
      <c r="A33" s="38" t="s">
        <v>24</v>
      </c>
      <c r="B33" s="15" t="s">
        <v>28</v>
      </c>
      <c r="C33" s="15" t="s">
        <v>28</v>
      </c>
      <c r="D33" s="15">
        <v>9</v>
      </c>
      <c r="E33" s="15">
        <v>15.31</v>
      </c>
      <c r="F33" s="15" t="s">
        <v>28</v>
      </c>
      <c r="G33" s="15" t="s">
        <v>28</v>
      </c>
      <c r="H33" s="14">
        <v>13814.879000000001</v>
      </c>
      <c r="I33" s="14">
        <v>22545.596000000001</v>
      </c>
      <c r="J33" s="15">
        <v>6</v>
      </c>
      <c r="K33" s="15">
        <v>1654.2159999999999</v>
      </c>
      <c r="L33" s="15">
        <v>45.226999999999997</v>
      </c>
      <c r="M33" s="14">
        <v>2752.4360000000001</v>
      </c>
      <c r="N33" s="16">
        <v>27011.785000000003</v>
      </c>
      <c r="O33" s="10"/>
      <c r="P33" s="25"/>
      <c r="Q33" s="29"/>
      <c r="R33" s="60"/>
    </row>
    <row r="34" spans="1:18" s="5" customFormat="1" ht="11.25" customHeight="1" x14ac:dyDescent="0.2">
      <c r="A34" s="38" t="s">
        <v>25</v>
      </c>
      <c r="B34" s="15" t="s">
        <v>28</v>
      </c>
      <c r="C34" s="15" t="s">
        <v>28</v>
      </c>
      <c r="D34" s="15" t="s">
        <v>28</v>
      </c>
      <c r="E34" s="15" t="s">
        <v>28</v>
      </c>
      <c r="F34" s="15" t="s">
        <v>28</v>
      </c>
      <c r="G34" s="15" t="s">
        <v>28</v>
      </c>
      <c r="H34" s="14">
        <v>167.27500000000001</v>
      </c>
      <c r="I34" s="14">
        <v>673.78599999999994</v>
      </c>
      <c r="J34" s="15" t="s">
        <v>28</v>
      </c>
      <c r="K34" s="15" t="s">
        <v>28</v>
      </c>
      <c r="L34" s="15">
        <v>78.031000000000006</v>
      </c>
      <c r="M34" s="14">
        <v>229.03700000000001</v>
      </c>
      <c r="N34" s="16">
        <v>980.85399999999993</v>
      </c>
      <c r="O34" s="10"/>
      <c r="P34" s="25"/>
      <c r="Q34" s="29"/>
      <c r="R34" s="60"/>
    </row>
    <row r="35" spans="1:18" s="5" customFormat="1" ht="11.25" customHeight="1" x14ac:dyDescent="0.2">
      <c r="A35" s="41" t="s">
        <v>31</v>
      </c>
      <c r="B35" s="15">
        <v>1</v>
      </c>
      <c r="C35" s="15" t="s">
        <v>28</v>
      </c>
      <c r="D35" s="15" t="s">
        <v>28</v>
      </c>
      <c r="E35" s="15" t="s">
        <v>28</v>
      </c>
      <c r="F35" s="15" t="s">
        <v>28</v>
      </c>
      <c r="G35" s="15" t="s">
        <v>28</v>
      </c>
      <c r="H35" s="14">
        <v>64.203999999999994</v>
      </c>
      <c r="I35" s="14">
        <v>414.53399999999999</v>
      </c>
      <c r="J35" s="14">
        <v>4</v>
      </c>
      <c r="K35" s="14">
        <v>12.468999999999999</v>
      </c>
      <c r="L35" s="14">
        <v>1008.954</v>
      </c>
      <c r="M35" s="14">
        <v>3640.415</v>
      </c>
      <c r="N35" s="16">
        <v>5076.3719999999994</v>
      </c>
      <c r="O35" s="10"/>
      <c r="P35" s="25"/>
      <c r="Q35" s="67"/>
      <c r="R35" s="60"/>
    </row>
    <row r="36" spans="1:18" s="5" customFormat="1" ht="11.25" customHeight="1" x14ac:dyDescent="0.2">
      <c r="A36" s="38" t="s">
        <v>26</v>
      </c>
      <c r="B36" s="15" t="s">
        <v>28</v>
      </c>
      <c r="C36" s="15" t="s">
        <v>28</v>
      </c>
      <c r="D36" s="15" t="s">
        <v>28</v>
      </c>
      <c r="E36" s="15" t="s">
        <v>28</v>
      </c>
      <c r="F36" s="15" t="s">
        <v>28</v>
      </c>
      <c r="G36" s="15" t="s">
        <v>28</v>
      </c>
      <c r="H36" s="15">
        <v>1956.0329999999999</v>
      </c>
      <c r="I36" s="15">
        <v>3060.6529999999998</v>
      </c>
      <c r="J36" s="14">
        <v>83</v>
      </c>
      <c r="K36" s="14">
        <v>227.595</v>
      </c>
      <c r="L36" s="14">
        <v>2495.2179999999998</v>
      </c>
      <c r="M36" s="14">
        <v>2372.16</v>
      </c>
      <c r="N36" s="16">
        <v>8155.6260000000002</v>
      </c>
      <c r="O36" s="69"/>
      <c r="P36" s="25"/>
      <c r="Q36" s="29"/>
      <c r="R36" s="60"/>
    </row>
    <row r="37" spans="1:18" s="5" customFormat="1" ht="11.25" customHeight="1" x14ac:dyDescent="0.2">
      <c r="A37" s="38" t="s">
        <v>45</v>
      </c>
      <c r="B37" s="15" t="s">
        <v>28</v>
      </c>
      <c r="C37" s="15" t="s">
        <v>28</v>
      </c>
      <c r="D37" s="21">
        <v>2608</v>
      </c>
      <c r="E37" s="14">
        <v>3548.6</v>
      </c>
      <c r="F37" s="14">
        <v>6013</v>
      </c>
      <c r="G37" s="14">
        <v>6283.5749999999998</v>
      </c>
      <c r="H37" s="14">
        <v>24230.54</v>
      </c>
      <c r="I37" s="14">
        <v>50919.582999999999</v>
      </c>
      <c r="J37" s="14">
        <v>795</v>
      </c>
      <c r="K37" s="14">
        <v>1595.0920000000001</v>
      </c>
      <c r="L37" s="14">
        <v>2071.2809999999999</v>
      </c>
      <c r="M37" s="14">
        <v>26117.297999999999</v>
      </c>
      <c r="N37" s="16">
        <v>90536.429000000004</v>
      </c>
      <c r="O37" s="70"/>
      <c r="P37" s="25"/>
      <c r="Q37" s="67"/>
      <c r="R37" s="60"/>
    </row>
    <row r="38" spans="1:18" s="30" customFormat="1" ht="11.25" customHeight="1" x14ac:dyDescent="0.2">
      <c r="A38" s="40" t="s">
        <v>46</v>
      </c>
      <c r="B38" s="17" t="s">
        <v>28</v>
      </c>
      <c r="C38" s="17" t="s">
        <v>28</v>
      </c>
      <c r="D38" s="17" t="s">
        <v>28</v>
      </c>
      <c r="E38" s="17" t="s">
        <v>28</v>
      </c>
      <c r="F38" s="17" t="s">
        <v>28</v>
      </c>
      <c r="G38" s="17" t="s">
        <v>28</v>
      </c>
      <c r="H38" s="17" t="s">
        <v>28</v>
      </c>
      <c r="I38" s="17" t="s">
        <v>28</v>
      </c>
      <c r="J38" s="17" t="s">
        <v>28</v>
      </c>
      <c r="K38" s="17" t="s">
        <v>28</v>
      </c>
      <c r="L38" s="18">
        <v>7560.5609999999997</v>
      </c>
      <c r="M38" s="18">
        <v>890.33100000000002</v>
      </c>
      <c r="N38" s="20">
        <v>8450.8919999999998</v>
      </c>
      <c r="O38" s="68"/>
      <c r="P38" s="62"/>
      <c r="Q38" s="63"/>
      <c r="R38" s="64"/>
    </row>
    <row r="39" spans="1:18" s="5" customFormat="1" ht="11.25" customHeight="1" x14ac:dyDescent="0.2">
      <c r="A39" s="4" t="s">
        <v>75</v>
      </c>
      <c r="B39" s="14">
        <v>118</v>
      </c>
      <c r="C39" s="14">
        <v>103.26200000000017</v>
      </c>
      <c r="D39" s="14">
        <v>1278</v>
      </c>
      <c r="E39" s="14">
        <v>2175.3670000000129</v>
      </c>
      <c r="F39" s="15" t="s">
        <v>28</v>
      </c>
      <c r="G39" s="15" t="s">
        <v>28</v>
      </c>
      <c r="H39" s="14">
        <v>382.55299999995623</v>
      </c>
      <c r="I39" s="14">
        <v>501.74299999990035</v>
      </c>
      <c r="J39" s="14">
        <v>219</v>
      </c>
      <c r="K39" s="14">
        <v>456.88899999999558</v>
      </c>
      <c r="L39" s="14">
        <v>1026.4639999999781</v>
      </c>
      <c r="M39" s="14">
        <v>1440.9800000000978</v>
      </c>
      <c r="N39" s="16">
        <v>5703.7049999999854</v>
      </c>
      <c r="O39" s="68"/>
      <c r="P39" s="25"/>
      <c r="Q39" s="67"/>
      <c r="R39" s="28"/>
    </row>
    <row r="40" spans="1:18" s="8" customFormat="1" ht="11.25" customHeight="1" x14ac:dyDescent="0.2">
      <c r="A40" s="84" t="s">
        <v>27</v>
      </c>
      <c r="B40" s="22">
        <v>3524</v>
      </c>
      <c r="C40" s="22">
        <v>2303</v>
      </c>
      <c r="D40" s="22">
        <v>35193</v>
      </c>
      <c r="E40" s="22">
        <v>48669</v>
      </c>
      <c r="F40" s="22">
        <v>6895</v>
      </c>
      <c r="G40" s="22">
        <v>7596</v>
      </c>
      <c r="H40" s="22">
        <v>340391</v>
      </c>
      <c r="I40" s="22">
        <v>540125</v>
      </c>
      <c r="J40" s="22">
        <v>19681</v>
      </c>
      <c r="K40" s="22">
        <v>25753</v>
      </c>
      <c r="L40" s="22">
        <v>101777</v>
      </c>
      <c r="M40" s="22">
        <v>377631</v>
      </c>
      <c r="N40" s="22">
        <v>1103854</v>
      </c>
      <c r="O40" s="71"/>
      <c r="P40" s="57"/>
      <c r="Q40" s="58"/>
      <c r="R40" s="72"/>
    </row>
    <row r="41" spans="1:18" s="8" customFormat="1" ht="11.25" customHeight="1" x14ac:dyDescent="0.2">
      <c r="A41" s="24"/>
      <c r="B41" s="16"/>
      <c r="C41" s="16"/>
      <c r="D41" s="16"/>
      <c r="E41" s="16"/>
      <c r="F41" s="16"/>
      <c r="G41" s="16"/>
      <c r="H41" s="16"/>
      <c r="I41" s="16"/>
      <c r="J41" s="16"/>
      <c r="K41" s="16"/>
      <c r="L41" s="16"/>
      <c r="M41" s="16"/>
      <c r="N41" s="16"/>
      <c r="O41" s="71"/>
      <c r="P41" s="57"/>
      <c r="Q41" s="58"/>
      <c r="R41" s="72"/>
    </row>
    <row r="42" spans="1:18" s="5" customFormat="1" ht="12.75" customHeight="1" x14ac:dyDescent="0.2">
      <c r="A42" s="79" t="s">
        <v>48</v>
      </c>
    </row>
    <row r="43" spans="1:18" s="5" customFormat="1" ht="12.75" customHeight="1" x14ac:dyDescent="0.2">
      <c r="A43" s="80" t="s">
        <v>49</v>
      </c>
    </row>
    <row r="44" spans="1:18" s="5" customFormat="1" ht="12.75" customHeight="1" x14ac:dyDescent="0.2">
      <c r="A44" s="80"/>
    </row>
    <row r="45" spans="1:18" s="5" customFormat="1" ht="12.75" customHeight="1" x14ac:dyDescent="0.2">
      <c r="A45" s="3" t="s">
        <v>37</v>
      </c>
    </row>
    <row r="46" spans="1:18" s="5" customFormat="1" ht="12.75" customHeight="1" x14ac:dyDescent="0.2">
      <c r="A46" s="4" t="s">
        <v>54</v>
      </c>
    </row>
    <row r="47" spans="1:18" s="5" customFormat="1" ht="12.75" customHeight="1" x14ac:dyDescent="0.2">
      <c r="A47" s="4" t="s">
        <v>55</v>
      </c>
    </row>
    <row r="48" spans="1:18" s="5" customFormat="1" ht="12.75" customHeight="1" x14ac:dyDescent="0.2">
      <c r="A48" s="4" t="s">
        <v>56</v>
      </c>
    </row>
    <row r="49" spans="1:1" s="5" customFormat="1" ht="12.75" customHeight="1" x14ac:dyDescent="0.2">
      <c r="A49" s="4" t="s">
        <v>67</v>
      </c>
    </row>
    <row r="50" spans="1:1" s="5" customFormat="1" ht="12.75" customHeight="1" x14ac:dyDescent="0.2">
      <c r="A50" s="4" t="s">
        <v>68</v>
      </c>
    </row>
    <row r="51" spans="1:1" s="5" customFormat="1" ht="12.75" customHeight="1" x14ac:dyDescent="0.2">
      <c r="A51" s="4" t="s">
        <v>72</v>
      </c>
    </row>
    <row r="52" spans="1:1" s="5" customFormat="1" ht="12.75" customHeight="1" x14ac:dyDescent="0.2">
      <c r="A52" s="4" t="s">
        <v>73</v>
      </c>
    </row>
    <row r="53" spans="1:1" s="5" customFormat="1" ht="12.75" customHeight="1" x14ac:dyDescent="0.2">
      <c r="A53" s="4" t="s">
        <v>74</v>
      </c>
    </row>
    <row r="54" spans="1:1" ht="12.75" customHeight="1" x14ac:dyDescent="0.2"/>
    <row r="55" spans="1:1" ht="12.75" customHeight="1" x14ac:dyDescent="0.2">
      <c r="A55" s="3" t="s">
        <v>50</v>
      </c>
    </row>
    <row r="56" spans="1:1" ht="12.75" customHeight="1" x14ac:dyDescent="0.2">
      <c r="A56" s="81" t="s">
        <v>51</v>
      </c>
    </row>
    <row r="57" spans="1:1" ht="11.25" customHeight="1" x14ac:dyDescent="0.2"/>
    <row r="58" spans="1:1" ht="11.25" customHeight="1" x14ac:dyDescent="0.2"/>
    <row r="59" spans="1:1" ht="11.25" customHeight="1" x14ac:dyDescent="0.2"/>
    <row r="60" spans="1:1" ht="11.25" customHeight="1" x14ac:dyDescent="0.2"/>
    <row r="61" spans="1:1" ht="11.25" customHeight="1" x14ac:dyDescent="0.2"/>
    <row r="62" spans="1:1" ht="11.25" customHeight="1" x14ac:dyDescent="0.2"/>
    <row r="63" spans="1:1" ht="11.25" customHeight="1" x14ac:dyDescent="0.2"/>
    <row r="64" spans="1:1" ht="11.25" customHeight="1" x14ac:dyDescent="0.2"/>
  </sheetData>
  <mergeCells count="6">
    <mergeCell ref="H3:I3"/>
    <mergeCell ref="J3:K3"/>
    <mergeCell ref="A3:A5"/>
    <mergeCell ref="B3:C3"/>
    <mergeCell ref="D3:E3"/>
    <mergeCell ref="F3:G3"/>
  </mergeCells>
  <phoneticPr fontId="2"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65"/>
  <sheetViews>
    <sheetView tabSelected="1" workbookViewId="0"/>
  </sheetViews>
  <sheetFormatPr defaultRowHeight="12.75" x14ac:dyDescent="0.2"/>
  <cols>
    <col min="1" max="1" width="30.7109375" customWidth="1"/>
    <col min="2" max="11" width="9.7109375" customWidth="1"/>
    <col min="12" max="14" width="13.7109375" customWidth="1"/>
  </cols>
  <sheetData>
    <row r="1" spans="1:32" ht="16.5" x14ac:dyDescent="0.2">
      <c r="A1" s="76" t="s">
        <v>240</v>
      </c>
    </row>
    <row r="3" spans="1:32" ht="21" x14ac:dyDescent="0.2">
      <c r="A3" s="163" t="s">
        <v>38</v>
      </c>
      <c r="B3" s="165" t="s">
        <v>36</v>
      </c>
      <c r="C3" s="165"/>
      <c r="D3" s="166" t="s">
        <v>90</v>
      </c>
      <c r="E3" s="167"/>
      <c r="F3" s="165" t="s">
        <v>35</v>
      </c>
      <c r="G3" s="165"/>
      <c r="H3" s="162" t="s">
        <v>236</v>
      </c>
      <c r="I3" s="162"/>
      <c r="J3" s="162" t="s">
        <v>70</v>
      </c>
      <c r="K3" s="162"/>
      <c r="L3" s="106" t="s">
        <v>92</v>
      </c>
      <c r="M3" s="106" t="s">
        <v>71</v>
      </c>
      <c r="N3" s="140" t="s">
        <v>34</v>
      </c>
    </row>
    <row r="4" spans="1:32" x14ac:dyDescent="0.2">
      <c r="A4" s="163"/>
      <c r="B4" s="108" t="s">
        <v>59</v>
      </c>
      <c r="C4" s="108" t="s">
        <v>57</v>
      </c>
      <c r="D4" s="141" t="s">
        <v>69</v>
      </c>
      <c r="E4" s="141" t="s">
        <v>57</v>
      </c>
      <c r="F4" s="108" t="s">
        <v>58</v>
      </c>
      <c r="G4" s="108" t="s">
        <v>57</v>
      </c>
      <c r="H4" s="108" t="s">
        <v>58</v>
      </c>
      <c r="I4" s="108" t="s">
        <v>57</v>
      </c>
      <c r="J4" s="141" t="s">
        <v>58</v>
      </c>
      <c r="K4" s="141" t="s">
        <v>57</v>
      </c>
      <c r="L4" s="108" t="s">
        <v>57</v>
      </c>
      <c r="M4" s="108" t="s">
        <v>57</v>
      </c>
      <c r="N4" s="141" t="s">
        <v>57</v>
      </c>
    </row>
    <row r="5" spans="1:32" x14ac:dyDescent="0.2">
      <c r="A5" s="164"/>
      <c r="B5" s="109" t="s">
        <v>60</v>
      </c>
      <c r="C5" s="109" t="s">
        <v>61</v>
      </c>
      <c r="D5" s="142" t="s">
        <v>62</v>
      </c>
      <c r="E5" s="142" t="s">
        <v>61</v>
      </c>
      <c r="F5" s="109" t="s">
        <v>63</v>
      </c>
      <c r="G5" s="109" t="s">
        <v>61</v>
      </c>
      <c r="H5" s="109" t="s">
        <v>63</v>
      </c>
      <c r="I5" s="109" t="s">
        <v>61</v>
      </c>
      <c r="J5" s="142" t="s">
        <v>64</v>
      </c>
      <c r="K5" s="142" t="s">
        <v>61</v>
      </c>
      <c r="L5" s="109" t="s">
        <v>61</v>
      </c>
      <c r="M5" s="109" t="s">
        <v>61</v>
      </c>
      <c r="N5" s="142" t="s">
        <v>61</v>
      </c>
    </row>
    <row r="6" spans="1:32" x14ac:dyDescent="0.2">
      <c r="A6" s="151" t="s">
        <v>0</v>
      </c>
      <c r="B6" s="110">
        <v>2733.52</v>
      </c>
      <c r="C6" s="110">
        <v>2517.723</v>
      </c>
      <c r="D6" s="110">
        <v>3798.0126</v>
      </c>
      <c r="E6" s="110">
        <v>6551.375</v>
      </c>
      <c r="F6" s="110">
        <v>23</v>
      </c>
      <c r="G6" s="110">
        <v>25.753</v>
      </c>
      <c r="H6" s="110">
        <v>224497.751453</v>
      </c>
      <c r="I6" s="110">
        <v>231058.193</v>
      </c>
      <c r="J6" s="110">
        <v>12563.1278</v>
      </c>
      <c r="K6" s="110">
        <v>5673.5410000000002</v>
      </c>
      <c r="L6" s="110">
        <v>8516.4130000000005</v>
      </c>
      <c r="M6" s="110">
        <v>153055.80499999999</v>
      </c>
      <c r="N6" s="138">
        <v>407398.80300000001</v>
      </c>
      <c r="O6" s="136"/>
      <c r="P6" s="136"/>
      <c r="Q6" s="136"/>
      <c r="R6" s="136"/>
      <c r="S6" s="136"/>
      <c r="T6" s="136"/>
      <c r="U6" s="136"/>
      <c r="V6" s="136"/>
      <c r="W6" s="136"/>
      <c r="X6" s="136"/>
      <c r="Y6" s="136"/>
      <c r="Z6" s="136"/>
      <c r="AA6" s="136"/>
      <c r="AB6" s="136"/>
      <c r="AC6" s="136"/>
      <c r="AD6" s="136"/>
      <c r="AE6" s="136"/>
      <c r="AF6" s="136"/>
    </row>
    <row r="7" spans="1:32" x14ac:dyDescent="0.2">
      <c r="A7" s="151" t="s">
        <v>2</v>
      </c>
      <c r="B7" s="110" t="s">
        <v>28</v>
      </c>
      <c r="C7" s="110" t="s">
        <v>28</v>
      </c>
      <c r="D7" s="110">
        <v>300.41300000000001</v>
      </c>
      <c r="E7" s="110">
        <v>218.47300000000001</v>
      </c>
      <c r="F7" s="110" t="s">
        <v>28</v>
      </c>
      <c r="G7" s="110" t="s">
        <v>28</v>
      </c>
      <c r="H7" s="110">
        <v>738.93597699999998</v>
      </c>
      <c r="I7" s="110">
        <v>1621.3209999999999</v>
      </c>
      <c r="J7" s="110">
        <v>35794.4761</v>
      </c>
      <c r="K7" s="110">
        <v>3583.5889999999999</v>
      </c>
      <c r="L7" s="110">
        <v>335.12599999999998</v>
      </c>
      <c r="M7" s="110">
        <v>8170.6509999999998</v>
      </c>
      <c r="N7" s="138">
        <v>13929.16</v>
      </c>
      <c r="O7" s="136"/>
      <c r="P7" s="136"/>
      <c r="Q7" s="136"/>
      <c r="R7" s="136"/>
      <c r="S7" s="136"/>
      <c r="T7" s="136"/>
      <c r="U7" s="136"/>
      <c r="V7" s="136"/>
      <c r="W7" s="136"/>
      <c r="X7" s="136"/>
      <c r="Y7" s="136"/>
      <c r="Z7" s="136"/>
      <c r="AA7" s="136"/>
      <c r="AB7" s="136"/>
      <c r="AC7" s="136"/>
      <c r="AD7" s="136"/>
      <c r="AE7" s="136"/>
      <c r="AF7" s="136"/>
    </row>
    <row r="8" spans="1:32" x14ac:dyDescent="0.2">
      <c r="A8" s="151" t="s">
        <v>229</v>
      </c>
      <c r="B8" s="110" t="s">
        <v>28</v>
      </c>
      <c r="C8" s="110" t="s">
        <v>28</v>
      </c>
      <c r="D8" s="110">
        <v>798.95</v>
      </c>
      <c r="E8" s="110">
        <v>1730.058</v>
      </c>
      <c r="F8" s="110" t="s">
        <v>28</v>
      </c>
      <c r="G8" s="110" t="s">
        <v>28</v>
      </c>
      <c r="H8" s="110" t="s">
        <v>28</v>
      </c>
      <c r="I8" s="110" t="s">
        <v>28</v>
      </c>
      <c r="J8" s="110" t="s">
        <v>28</v>
      </c>
      <c r="K8" s="110" t="s">
        <v>28</v>
      </c>
      <c r="L8" s="110" t="s">
        <v>28</v>
      </c>
      <c r="M8" s="110">
        <v>2018.173</v>
      </c>
      <c r="N8" s="138">
        <v>3748.2309999999998</v>
      </c>
      <c r="O8" s="136"/>
      <c r="P8" s="136"/>
      <c r="Q8" s="136"/>
      <c r="R8" s="136"/>
      <c r="S8" s="136"/>
      <c r="T8" s="136"/>
      <c r="U8" s="136"/>
      <c r="V8" s="136"/>
      <c r="W8" s="136"/>
      <c r="X8" s="136"/>
      <c r="Y8" s="136"/>
      <c r="Z8" s="136"/>
      <c r="AA8" s="136"/>
      <c r="AB8" s="136"/>
      <c r="AC8" s="136"/>
      <c r="AD8" s="136"/>
      <c r="AE8" s="136"/>
      <c r="AF8" s="136"/>
    </row>
    <row r="9" spans="1:32" x14ac:dyDescent="0.2">
      <c r="A9" s="151" t="s">
        <v>3</v>
      </c>
      <c r="B9" s="110" t="s">
        <v>28</v>
      </c>
      <c r="C9" s="110" t="s">
        <v>28</v>
      </c>
      <c r="D9" s="110">
        <v>108.527</v>
      </c>
      <c r="E9" s="110">
        <v>148.51599999999999</v>
      </c>
      <c r="F9" s="110">
        <v>7325.0519999999997</v>
      </c>
      <c r="G9" s="110">
        <v>5534.107</v>
      </c>
      <c r="H9" s="110">
        <v>1908.865485</v>
      </c>
      <c r="I9" s="110">
        <v>2339.2359999999999</v>
      </c>
      <c r="J9" s="110">
        <v>740.976</v>
      </c>
      <c r="K9" s="110">
        <v>479.17599999999999</v>
      </c>
      <c r="L9" s="110">
        <v>43.768999999999998</v>
      </c>
      <c r="M9" s="110">
        <v>674.84500000000003</v>
      </c>
      <c r="N9" s="138">
        <v>9219.6489999999994</v>
      </c>
      <c r="O9" s="136"/>
      <c r="P9" s="136"/>
      <c r="Q9" s="136"/>
      <c r="R9" s="136"/>
      <c r="S9" s="136"/>
      <c r="T9" s="136"/>
      <c r="U9" s="136"/>
      <c r="V9" s="136"/>
      <c r="W9" s="136"/>
      <c r="X9" s="136"/>
      <c r="Y9" s="136"/>
      <c r="Z9" s="136"/>
      <c r="AA9" s="136"/>
      <c r="AB9" s="136"/>
      <c r="AC9" s="136"/>
      <c r="AD9" s="136"/>
      <c r="AE9" s="136"/>
      <c r="AF9" s="136"/>
    </row>
    <row r="10" spans="1:32" x14ac:dyDescent="0.2">
      <c r="A10" s="151" t="s">
        <v>4</v>
      </c>
      <c r="B10" s="110" t="s">
        <v>28</v>
      </c>
      <c r="C10" s="110" t="s">
        <v>28</v>
      </c>
      <c r="D10" s="110">
        <v>14885.183000000001</v>
      </c>
      <c r="E10" s="110">
        <v>27257.11</v>
      </c>
      <c r="F10" s="110">
        <v>6845.6109999999999</v>
      </c>
      <c r="G10" s="110">
        <v>4656.7209999999995</v>
      </c>
      <c r="H10" s="110">
        <v>5822.4167980000002</v>
      </c>
      <c r="I10" s="110">
        <v>7121.7290000000003</v>
      </c>
      <c r="J10" s="110">
        <v>594.09699999999998</v>
      </c>
      <c r="K10" s="110">
        <v>38.384999999999998</v>
      </c>
      <c r="L10" s="110">
        <v>194.12899999999999</v>
      </c>
      <c r="M10" s="110">
        <v>3501.1729999999998</v>
      </c>
      <c r="N10" s="138">
        <v>42769.247000000003</v>
      </c>
      <c r="O10" s="136"/>
      <c r="P10" s="136"/>
      <c r="Q10" s="136"/>
      <c r="R10" s="136"/>
      <c r="S10" s="136"/>
      <c r="T10" s="136"/>
      <c r="U10" s="136"/>
      <c r="V10" s="136"/>
      <c r="W10" s="136"/>
      <c r="X10" s="136"/>
      <c r="Y10" s="136"/>
      <c r="Z10" s="136"/>
      <c r="AA10" s="136"/>
      <c r="AB10" s="136"/>
      <c r="AC10" s="136"/>
      <c r="AD10" s="136"/>
      <c r="AE10" s="136"/>
      <c r="AF10" s="136"/>
    </row>
    <row r="11" spans="1:32" x14ac:dyDescent="0.2">
      <c r="A11" s="151" t="s">
        <v>32</v>
      </c>
      <c r="B11" s="110" t="s">
        <v>28</v>
      </c>
      <c r="C11" s="110" t="s">
        <v>28</v>
      </c>
      <c r="D11" s="110">
        <v>2829.297</v>
      </c>
      <c r="E11" s="110">
        <v>1757.9960000000001</v>
      </c>
      <c r="F11" s="110">
        <v>32468.371999999999</v>
      </c>
      <c r="G11" s="110">
        <v>22416.072</v>
      </c>
      <c r="H11" s="110">
        <v>461.23124999999999</v>
      </c>
      <c r="I11" s="110">
        <v>597.15200000000004</v>
      </c>
      <c r="J11" s="110">
        <v>330441.89230000001</v>
      </c>
      <c r="K11" s="110">
        <v>19460.607</v>
      </c>
      <c r="L11" s="110">
        <v>13.65</v>
      </c>
      <c r="M11" s="110">
        <v>1854.079</v>
      </c>
      <c r="N11" s="138">
        <v>46099.555999999997</v>
      </c>
      <c r="O11" s="136"/>
      <c r="P11" s="136"/>
      <c r="Q11" s="136"/>
      <c r="R11" s="136"/>
      <c r="S11" s="136"/>
      <c r="T11" s="136"/>
      <c r="U11" s="136"/>
      <c r="V11" s="136"/>
      <c r="W11" s="136"/>
      <c r="X11" s="136"/>
      <c r="Y11" s="136"/>
      <c r="Z11" s="136"/>
      <c r="AA11" s="136"/>
      <c r="AB11" s="136"/>
      <c r="AC11" s="136"/>
      <c r="AD11" s="136"/>
      <c r="AE11" s="136"/>
      <c r="AF11" s="136"/>
    </row>
    <row r="12" spans="1:32" x14ac:dyDescent="0.2">
      <c r="A12" s="151" t="s">
        <v>110</v>
      </c>
      <c r="B12" s="110">
        <v>122</v>
      </c>
      <c r="C12" s="110">
        <v>22.274999999999999</v>
      </c>
      <c r="D12" s="110">
        <v>9222.2749999999996</v>
      </c>
      <c r="E12" s="110">
        <v>270.87900000000002</v>
      </c>
      <c r="F12" s="110">
        <v>1E-3</v>
      </c>
      <c r="G12" s="110">
        <v>5.0999999999999997E-2</v>
      </c>
      <c r="H12" s="110">
        <v>41975.957280000002</v>
      </c>
      <c r="I12" s="110">
        <v>76302.34</v>
      </c>
      <c r="J12" s="110">
        <v>106171.0282</v>
      </c>
      <c r="K12" s="110">
        <v>24779.687000000002</v>
      </c>
      <c r="L12" s="110">
        <v>216368.755</v>
      </c>
      <c r="M12" s="110">
        <v>148225.959</v>
      </c>
      <c r="N12" s="138">
        <v>465969.94600000005</v>
      </c>
      <c r="O12" s="136"/>
      <c r="P12" s="136"/>
      <c r="Q12" s="136"/>
      <c r="R12" s="136"/>
      <c r="S12" s="136"/>
      <c r="T12" s="136"/>
      <c r="U12" s="136"/>
      <c r="V12" s="136"/>
      <c r="W12" s="136"/>
      <c r="X12" s="136"/>
      <c r="Y12" s="136"/>
      <c r="Z12" s="136"/>
      <c r="AA12" s="136"/>
      <c r="AB12" s="136"/>
      <c r="AC12" s="136"/>
      <c r="AD12" s="136"/>
      <c r="AE12" s="136"/>
      <c r="AF12" s="136"/>
    </row>
    <row r="13" spans="1:32" x14ac:dyDescent="0.2">
      <c r="A13" s="151" t="s">
        <v>230</v>
      </c>
      <c r="B13" s="110">
        <v>18.071000000000002</v>
      </c>
      <c r="C13" s="110">
        <v>20.414999999999999</v>
      </c>
      <c r="D13" s="110">
        <v>18.510999999999999</v>
      </c>
      <c r="E13" s="110">
        <v>17.488</v>
      </c>
      <c r="F13" s="110" t="s">
        <v>28</v>
      </c>
      <c r="G13" s="110" t="s">
        <v>28</v>
      </c>
      <c r="H13" s="110">
        <v>983.096</v>
      </c>
      <c r="I13" s="110">
        <v>1443.0940000000001</v>
      </c>
      <c r="J13" s="110" t="s">
        <v>28</v>
      </c>
      <c r="K13" s="110" t="s">
        <v>28</v>
      </c>
      <c r="L13" s="110">
        <v>355.57900000000001</v>
      </c>
      <c r="M13" s="110">
        <v>2836.9349999999999</v>
      </c>
      <c r="N13" s="138">
        <v>4673.5110000000004</v>
      </c>
      <c r="O13" s="136"/>
      <c r="P13" s="136"/>
      <c r="Q13" s="136"/>
      <c r="R13" s="136"/>
      <c r="S13" s="136"/>
      <c r="T13" s="136"/>
      <c r="U13" s="136"/>
      <c r="V13" s="136"/>
      <c r="W13" s="136"/>
      <c r="X13" s="136"/>
      <c r="Y13" s="136"/>
      <c r="Z13" s="136"/>
      <c r="AA13" s="136"/>
      <c r="AB13" s="136"/>
      <c r="AC13" s="136"/>
      <c r="AD13" s="136"/>
      <c r="AE13" s="136"/>
      <c r="AF13" s="136"/>
    </row>
    <row r="14" spans="1:32" x14ac:dyDescent="0.2">
      <c r="A14" s="151" t="s">
        <v>5</v>
      </c>
      <c r="B14" s="110" t="s">
        <v>28</v>
      </c>
      <c r="C14" s="110" t="s">
        <v>28</v>
      </c>
      <c r="D14" s="110" t="s">
        <v>28</v>
      </c>
      <c r="E14" s="110" t="s">
        <v>28</v>
      </c>
      <c r="F14" s="110" t="s">
        <v>28</v>
      </c>
      <c r="G14" s="110" t="s">
        <v>28</v>
      </c>
      <c r="H14" s="110">
        <v>2.9359199999999999</v>
      </c>
      <c r="I14" s="110">
        <v>80.831999999999994</v>
      </c>
      <c r="J14" s="110" t="s">
        <v>28</v>
      </c>
      <c r="K14" s="110" t="s">
        <v>28</v>
      </c>
      <c r="L14" s="110">
        <v>1750.117</v>
      </c>
      <c r="M14" s="110">
        <v>5421.5050000000001</v>
      </c>
      <c r="N14" s="138">
        <v>7252.4540000000006</v>
      </c>
      <c r="O14" s="136"/>
      <c r="P14" s="136"/>
      <c r="Q14" s="136"/>
      <c r="R14" s="136"/>
      <c r="S14" s="136"/>
      <c r="T14" s="136"/>
      <c r="U14" s="136"/>
      <c r="V14" s="136"/>
      <c r="W14" s="136"/>
      <c r="X14" s="136"/>
      <c r="Y14" s="136"/>
      <c r="Z14" s="136"/>
      <c r="AA14" s="136"/>
      <c r="AB14" s="136"/>
      <c r="AC14" s="136"/>
      <c r="AD14" s="136"/>
      <c r="AE14" s="136"/>
      <c r="AF14" s="136"/>
    </row>
    <row r="15" spans="1:32" x14ac:dyDescent="0.2">
      <c r="A15" s="151" t="s">
        <v>6</v>
      </c>
      <c r="B15" s="110" t="s">
        <v>28</v>
      </c>
      <c r="C15" s="110" t="s">
        <v>28</v>
      </c>
      <c r="D15" s="110">
        <v>1005.943</v>
      </c>
      <c r="E15" s="110">
        <v>1320.6559999999999</v>
      </c>
      <c r="F15" s="110" t="s">
        <v>28</v>
      </c>
      <c r="G15" s="110" t="s">
        <v>28</v>
      </c>
      <c r="H15" s="110">
        <v>13.52491</v>
      </c>
      <c r="I15" s="110">
        <v>29.585000000000001</v>
      </c>
      <c r="J15" s="110">
        <v>60.963999999999999</v>
      </c>
      <c r="K15" s="110">
        <v>101.94199999999999</v>
      </c>
      <c r="L15" s="110">
        <v>66.266999999999996</v>
      </c>
      <c r="M15" s="110">
        <v>319.47399999999999</v>
      </c>
      <c r="N15" s="138">
        <v>1837.924</v>
      </c>
      <c r="O15" s="136"/>
      <c r="P15" s="136"/>
      <c r="Q15" s="136"/>
      <c r="R15" s="136"/>
      <c r="S15" s="136"/>
      <c r="T15" s="136"/>
      <c r="U15" s="136"/>
      <c r="V15" s="136"/>
      <c r="W15" s="136"/>
      <c r="X15" s="136"/>
      <c r="Y15" s="136"/>
      <c r="Z15" s="136"/>
      <c r="AA15" s="136"/>
      <c r="AB15" s="136"/>
      <c r="AC15" s="136"/>
      <c r="AD15" s="136"/>
      <c r="AE15" s="136"/>
      <c r="AF15" s="136"/>
    </row>
    <row r="16" spans="1:32" x14ac:dyDescent="0.2">
      <c r="A16" s="151" t="s">
        <v>7</v>
      </c>
      <c r="B16" s="110" t="s">
        <v>28</v>
      </c>
      <c r="C16" s="110" t="s">
        <v>28</v>
      </c>
      <c r="D16" s="110">
        <v>40.075000000000003</v>
      </c>
      <c r="E16" s="110">
        <v>21.556000000000001</v>
      </c>
      <c r="F16" s="110" t="s">
        <v>28</v>
      </c>
      <c r="G16" s="110" t="s">
        <v>28</v>
      </c>
      <c r="H16" s="110">
        <v>16787.687000000002</v>
      </c>
      <c r="I16" s="110">
        <v>20562.975999999999</v>
      </c>
      <c r="J16" s="110">
        <v>8939.0126999999993</v>
      </c>
      <c r="K16" s="110">
        <v>973.49800000000005</v>
      </c>
      <c r="L16" s="110">
        <v>10.981</v>
      </c>
      <c r="M16" s="110">
        <v>3430.8180000000002</v>
      </c>
      <c r="N16" s="138">
        <v>24999.829000000002</v>
      </c>
      <c r="O16" s="136"/>
      <c r="P16" s="136"/>
      <c r="Q16" s="136"/>
      <c r="R16" s="136"/>
      <c r="S16" s="136"/>
      <c r="T16" s="136"/>
      <c r="U16" s="136"/>
      <c r="V16" s="136"/>
      <c r="W16" s="136"/>
      <c r="X16" s="136"/>
      <c r="Y16" s="136"/>
      <c r="Z16" s="136"/>
      <c r="AA16" s="136"/>
      <c r="AB16" s="136"/>
      <c r="AC16" s="136"/>
      <c r="AD16" s="136"/>
      <c r="AE16" s="136"/>
      <c r="AF16" s="136"/>
    </row>
    <row r="17" spans="1:32" x14ac:dyDescent="0.2">
      <c r="A17" s="151" t="s">
        <v>8</v>
      </c>
      <c r="B17" s="110" t="s">
        <v>28</v>
      </c>
      <c r="C17" s="110" t="s">
        <v>28</v>
      </c>
      <c r="D17" s="110">
        <v>398.87</v>
      </c>
      <c r="E17" s="110">
        <v>688.27099999999996</v>
      </c>
      <c r="F17" s="110" t="s">
        <v>28</v>
      </c>
      <c r="G17" s="110" t="s">
        <v>28</v>
      </c>
      <c r="H17" s="110">
        <v>1514.735878</v>
      </c>
      <c r="I17" s="110">
        <v>7306.1</v>
      </c>
      <c r="J17" s="110">
        <v>99.301599999999993</v>
      </c>
      <c r="K17" s="110">
        <v>206.13300000000001</v>
      </c>
      <c r="L17" s="110">
        <v>875.05499999999995</v>
      </c>
      <c r="M17" s="110">
        <v>29255.159</v>
      </c>
      <c r="N17" s="138">
        <v>38330.718000000001</v>
      </c>
      <c r="O17" s="136"/>
      <c r="P17" s="136"/>
      <c r="Q17" s="136"/>
      <c r="R17" s="136"/>
      <c r="S17" s="136"/>
      <c r="T17" s="136"/>
      <c r="U17" s="136"/>
      <c r="V17" s="136"/>
      <c r="W17" s="136"/>
      <c r="X17" s="136"/>
      <c r="Y17" s="136"/>
      <c r="Z17" s="136"/>
      <c r="AA17" s="136"/>
      <c r="AB17" s="136"/>
      <c r="AC17" s="136"/>
      <c r="AD17" s="136"/>
      <c r="AE17" s="136"/>
      <c r="AF17" s="136"/>
    </row>
    <row r="18" spans="1:32" x14ac:dyDescent="0.2">
      <c r="A18" s="151" t="s">
        <v>9</v>
      </c>
      <c r="B18" s="110">
        <v>25.004000000000001</v>
      </c>
      <c r="C18" s="110">
        <v>10.724</v>
      </c>
      <c r="D18" s="110">
        <v>176.804</v>
      </c>
      <c r="E18" s="110">
        <v>232.035</v>
      </c>
      <c r="F18" s="110">
        <v>218.1</v>
      </c>
      <c r="G18" s="110">
        <v>252.904</v>
      </c>
      <c r="H18" s="110">
        <v>3494.2885380000002</v>
      </c>
      <c r="I18" s="110">
        <v>9234.1689999999999</v>
      </c>
      <c r="J18" s="110">
        <v>32843.583400000003</v>
      </c>
      <c r="K18" s="110">
        <v>5064.0519999999997</v>
      </c>
      <c r="L18" s="110">
        <v>5853.4250000000002</v>
      </c>
      <c r="M18" s="110">
        <v>20513.075000000001</v>
      </c>
      <c r="N18" s="138">
        <v>41160.384000000005</v>
      </c>
      <c r="O18" s="136"/>
      <c r="P18" s="136"/>
      <c r="Q18" s="136"/>
      <c r="R18" s="136"/>
      <c r="S18" s="136"/>
      <c r="T18" s="136"/>
      <c r="U18" s="136"/>
      <c r="V18" s="136"/>
      <c r="W18" s="136"/>
      <c r="X18" s="136"/>
      <c r="Y18" s="136"/>
      <c r="Z18" s="136"/>
      <c r="AA18" s="136"/>
      <c r="AB18" s="136"/>
      <c r="AC18" s="136"/>
      <c r="AD18" s="136"/>
      <c r="AE18" s="136"/>
      <c r="AF18" s="136"/>
    </row>
    <row r="19" spans="1:32" x14ac:dyDescent="0.2">
      <c r="A19" s="151" t="s">
        <v>231</v>
      </c>
      <c r="B19" s="110" t="s">
        <v>28</v>
      </c>
      <c r="C19" s="110" t="s">
        <v>28</v>
      </c>
      <c r="D19" s="110">
        <v>2205.2139999999999</v>
      </c>
      <c r="E19" s="110">
        <v>3453.5830000000001</v>
      </c>
      <c r="F19" s="110" t="s">
        <v>28</v>
      </c>
      <c r="G19" s="110" t="s">
        <v>28</v>
      </c>
      <c r="H19" s="110" t="s">
        <v>28</v>
      </c>
      <c r="I19" s="110" t="s">
        <v>28</v>
      </c>
      <c r="J19" s="110" t="s">
        <v>28</v>
      </c>
      <c r="K19" s="110" t="s">
        <v>28</v>
      </c>
      <c r="L19" s="110" t="s">
        <v>28</v>
      </c>
      <c r="M19" s="110">
        <v>98.96</v>
      </c>
      <c r="N19" s="138">
        <v>3552.5430000000001</v>
      </c>
      <c r="O19" s="136"/>
      <c r="P19" s="136"/>
      <c r="Q19" s="136"/>
      <c r="R19" s="136"/>
      <c r="S19" s="136"/>
      <c r="T19" s="136"/>
      <c r="U19" s="136"/>
      <c r="V19" s="136"/>
      <c r="W19" s="136"/>
      <c r="X19" s="136"/>
      <c r="Y19" s="136"/>
      <c r="Z19" s="136"/>
      <c r="AA19" s="136"/>
      <c r="AB19" s="136"/>
      <c r="AC19" s="136"/>
      <c r="AD19" s="136"/>
      <c r="AE19" s="136"/>
      <c r="AF19" s="136"/>
    </row>
    <row r="20" spans="1:32" x14ac:dyDescent="0.2">
      <c r="A20" s="151" t="s">
        <v>109</v>
      </c>
      <c r="B20" s="110" t="s">
        <v>28</v>
      </c>
      <c r="C20" s="110" t="s">
        <v>28</v>
      </c>
      <c r="D20" s="110">
        <v>16</v>
      </c>
      <c r="E20" s="110">
        <v>1.5640000000000001</v>
      </c>
      <c r="F20" s="110" t="s">
        <v>28</v>
      </c>
      <c r="G20" s="110" t="s">
        <v>28</v>
      </c>
      <c r="H20" s="110">
        <v>43.572053999999994</v>
      </c>
      <c r="I20" s="110">
        <v>95.058999999999997</v>
      </c>
      <c r="J20" s="110">
        <v>181</v>
      </c>
      <c r="K20" s="110">
        <v>1.9730000000000001</v>
      </c>
      <c r="L20" s="110">
        <v>203.04599999999999</v>
      </c>
      <c r="M20" s="110">
        <v>1464.068</v>
      </c>
      <c r="N20" s="138">
        <v>1765.71</v>
      </c>
      <c r="O20" s="136"/>
      <c r="P20" s="136"/>
      <c r="Q20" s="136"/>
      <c r="R20" s="136"/>
      <c r="S20" s="136"/>
      <c r="T20" s="136"/>
      <c r="U20" s="136"/>
      <c r="V20" s="136"/>
      <c r="W20" s="136"/>
      <c r="X20" s="136"/>
      <c r="Y20" s="136"/>
      <c r="Z20" s="136"/>
      <c r="AA20" s="136"/>
      <c r="AB20" s="136"/>
      <c r="AC20" s="136"/>
      <c r="AD20" s="136"/>
      <c r="AE20" s="136"/>
      <c r="AF20" s="136"/>
    </row>
    <row r="21" spans="1:32" x14ac:dyDescent="0.2">
      <c r="A21" s="151" t="s">
        <v>232</v>
      </c>
      <c r="B21" s="110" t="s">
        <v>28</v>
      </c>
      <c r="C21" s="110" t="s">
        <v>28</v>
      </c>
      <c r="D21" s="110" t="s">
        <v>28</v>
      </c>
      <c r="E21" s="110" t="s">
        <v>28</v>
      </c>
      <c r="F21" s="110" t="s">
        <v>28</v>
      </c>
      <c r="G21" s="110" t="s">
        <v>28</v>
      </c>
      <c r="H21" s="110">
        <v>1E-3</v>
      </c>
      <c r="I21" s="110">
        <v>0.107</v>
      </c>
      <c r="J21" s="110" t="s">
        <v>28</v>
      </c>
      <c r="K21" s="110" t="s">
        <v>28</v>
      </c>
      <c r="L21" s="110">
        <v>23.216999999999999</v>
      </c>
      <c r="M21" s="110">
        <v>730.23099999999999</v>
      </c>
      <c r="N21" s="138">
        <v>753.55499999999995</v>
      </c>
      <c r="O21" s="136"/>
      <c r="P21" s="136"/>
      <c r="Q21" s="136"/>
      <c r="R21" s="136"/>
      <c r="S21" s="136"/>
      <c r="T21" s="136"/>
      <c r="U21" s="136"/>
      <c r="V21" s="136"/>
      <c r="W21" s="136"/>
      <c r="X21" s="136"/>
      <c r="Y21" s="136"/>
      <c r="Z21" s="136"/>
      <c r="AA21" s="136"/>
      <c r="AB21" s="136"/>
      <c r="AC21" s="136"/>
      <c r="AD21" s="136"/>
      <c r="AE21" s="136"/>
      <c r="AF21" s="136"/>
    </row>
    <row r="22" spans="1:32" x14ac:dyDescent="0.2">
      <c r="A22" s="151" t="s">
        <v>10</v>
      </c>
      <c r="B22" s="110">
        <v>1.9690000000000001</v>
      </c>
      <c r="C22" s="110">
        <v>7.0309999999999997</v>
      </c>
      <c r="D22" s="110" t="s">
        <v>28</v>
      </c>
      <c r="E22" s="110" t="s">
        <v>28</v>
      </c>
      <c r="F22" s="110" t="s">
        <v>28</v>
      </c>
      <c r="G22" s="110" t="s">
        <v>28</v>
      </c>
      <c r="H22" s="110">
        <v>541.06279900000004</v>
      </c>
      <c r="I22" s="110">
        <v>5221.616</v>
      </c>
      <c r="J22" s="110">
        <v>458.19200000000001</v>
      </c>
      <c r="K22" s="110">
        <v>45.698999999999998</v>
      </c>
      <c r="L22" s="110">
        <v>3611.047</v>
      </c>
      <c r="M22" s="110">
        <v>2282.9470000000001</v>
      </c>
      <c r="N22" s="138">
        <v>11168.340000000002</v>
      </c>
      <c r="O22" s="136"/>
      <c r="P22" s="136"/>
      <c r="Q22" s="136"/>
      <c r="R22" s="136"/>
      <c r="S22" s="136"/>
      <c r="T22" s="136"/>
      <c r="U22" s="136"/>
      <c r="V22" s="136"/>
      <c r="W22" s="136"/>
      <c r="X22" s="136"/>
      <c r="Y22" s="136"/>
      <c r="Z22" s="136"/>
      <c r="AA22" s="136"/>
      <c r="AB22" s="136"/>
      <c r="AC22" s="136"/>
      <c r="AD22" s="136"/>
      <c r="AE22" s="136"/>
      <c r="AF22" s="136"/>
    </row>
    <row r="23" spans="1:32" x14ac:dyDescent="0.2">
      <c r="A23" s="151" t="s">
        <v>11</v>
      </c>
      <c r="B23" s="110">
        <v>60</v>
      </c>
      <c r="C23" s="110">
        <v>0.14899999999999999</v>
      </c>
      <c r="D23" s="110">
        <v>4814.6360000000004</v>
      </c>
      <c r="E23" s="110">
        <v>9550.1610000000001</v>
      </c>
      <c r="F23" s="110" t="s">
        <v>28</v>
      </c>
      <c r="G23" s="110" t="s">
        <v>28</v>
      </c>
      <c r="H23" s="110">
        <v>19317.79866</v>
      </c>
      <c r="I23" s="110">
        <v>37186.010999999999</v>
      </c>
      <c r="J23" s="110">
        <v>1088.3761999999999</v>
      </c>
      <c r="K23" s="110">
        <v>1312.5540000000001</v>
      </c>
      <c r="L23" s="110">
        <v>11030.793</v>
      </c>
      <c r="M23" s="110">
        <v>44462.894</v>
      </c>
      <c r="N23" s="138">
        <v>103542.56200000001</v>
      </c>
      <c r="O23" s="136"/>
      <c r="P23" s="136"/>
      <c r="Q23" s="136"/>
      <c r="R23" s="136"/>
      <c r="S23" s="136"/>
      <c r="T23" s="136"/>
      <c r="U23" s="136"/>
      <c r="V23" s="136"/>
      <c r="W23" s="136"/>
      <c r="X23" s="136"/>
      <c r="Y23" s="136"/>
      <c r="Z23" s="136"/>
      <c r="AA23" s="136"/>
      <c r="AB23" s="136"/>
      <c r="AC23" s="136"/>
      <c r="AD23" s="136"/>
      <c r="AE23" s="136"/>
      <c r="AF23" s="136"/>
    </row>
    <row r="24" spans="1:32" x14ac:dyDescent="0.2">
      <c r="A24" s="151" t="s">
        <v>12</v>
      </c>
      <c r="B24" s="110" t="s">
        <v>28</v>
      </c>
      <c r="C24" s="110" t="s">
        <v>28</v>
      </c>
      <c r="D24" s="110">
        <v>323.18700000000001</v>
      </c>
      <c r="E24" s="110">
        <v>630.471</v>
      </c>
      <c r="F24" s="110" t="s">
        <v>28</v>
      </c>
      <c r="G24" s="110" t="s">
        <v>28</v>
      </c>
      <c r="H24" s="110">
        <v>3736.5635750000001</v>
      </c>
      <c r="I24" s="110">
        <v>8837.366</v>
      </c>
      <c r="J24" s="110">
        <v>10145.6862</v>
      </c>
      <c r="K24" s="110">
        <v>1588.318</v>
      </c>
      <c r="L24" s="110">
        <v>9570.2009999999991</v>
      </c>
      <c r="M24" s="110">
        <v>11708.032999999999</v>
      </c>
      <c r="N24" s="138">
        <v>32334.388999999999</v>
      </c>
      <c r="O24" s="136"/>
      <c r="P24" s="136"/>
      <c r="Q24" s="136"/>
      <c r="R24" s="136"/>
      <c r="S24" s="136"/>
      <c r="T24" s="136"/>
      <c r="U24" s="136"/>
      <c r="V24" s="136"/>
      <c r="W24" s="136"/>
      <c r="X24" s="136"/>
      <c r="Y24" s="136"/>
      <c r="Z24" s="136"/>
      <c r="AA24" s="136"/>
      <c r="AB24" s="136"/>
      <c r="AC24" s="136"/>
      <c r="AD24" s="136"/>
      <c r="AE24" s="136"/>
      <c r="AF24" s="136"/>
    </row>
    <row r="25" spans="1:32" x14ac:dyDescent="0.2">
      <c r="A25" s="151" t="s">
        <v>13</v>
      </c>
      <c r="B25" s="110" t="s">
        <v>28</v>
      </c>
      <c r="C25" s="110" t="s">
        <v>28</v>
      </c>
      <c r="D25" s="110" t="s">
        <v>28</v>
      </c>
      <c r="E25" s="110" t="s">
        <v>28</v>
      </c>
      <c r="F25" s="110" t="s">
        <v>28</v>
      </c>
      <c r="G25" s="110" t="s">
        <v>28</v>
      </c>
      <c r="H25" s="110">
        <v>32237.721258000001</v>
      </c>
      <c r="I25" s="110">
        <v>43920.995000000003</v>
      </c>
      <c r="J25" s="110">
        <v>2.4089999999999998</v>
      </c>
      <c r="K25" s="110">
        <v>2.1930000000000001</v>
      </c>
      <c r="L25" s="110">
        <v>221.18799999999999</v>
      </c>
      <c r="M25" s="110">
        <v>3812.48</v>
      </c>
      <c r="N25" s="138">
        <v>47956.856</v>
      </c>
      <c r="O25" s="136"/>
      <c r="P25" s="136"/>
      <c r="Q25" s="136"/>
      <c r="R25" s="136"/>
      <c r="S25" s="136"/>
      <c r="T25" s="136"/>
      <c r="U25" s="136"/>
      <c r="V25" s="136"/>
      <c r="W25" s="136"/>
      <c r="X25" s="136"/>
      <c r="Y25" s="136"/>
      <c r="Z25" s="136"/>
      <c r="AA25" s="136"/>
      <c r="AB25" s="136"/>
      <c r="AC25" s="136"/>
      <c r="AD25" s="136"/>
      <c r="AE25" s="136"/>
      <c r="AF25" s="136"/>
    </row>
    <row r="26" spans="1:32" x14ac:dyDescent="0.2">
      <c r="A26" s="151" t="s">
        <v>108</v>
      </c>
      <c r="B26" s="110" t="s">
        <v>28</v>
      </c>
      <c r="C26" s="110" t="s">
        <v>28</v>
      </c>
      <c r="D26" s="110" t="s">
        <v>28</v>
      </c>
      <c r="E26" s="110" t="s">
        <v>28</v>
      </c>
      <c r="F26" s="110" t="s">
        <v>28</v>
      </c>
      <c r="G26" s="110" t="s">
        <v>28</v>
      </c>
      <c r="H26" s="110">
        <v>17073.916940999999</v>
      </c>
      <c r="I26" s="110">
        <v>21380.966</v>
      </c>
      <c r="J26" s="110">
        <v>58.29</v>
      </c>
      <c r="K26" s="110">
        <v>13.795</v>
      </c>
      <c r="L26" s="110">
        <v>499.96199999999999</v>
      </c>
      <c r="M26" s="110">
        <v>5353.0020000000004</v>
      </c>
      <c r="N26" s="138">
        <v>27247.724999999999</v>
      </c>
      <c r="O26" s="136"/>
      <c r="P26" s="136"/>
      <c r="Q26" s="136"/>
      <c r="R26" s="136"/>
      <c r="S26" s="136"/>
      <c r="T26" s="136"/>
      <c r="U26" s="136"/>
      <c r="V26" s="136"/>
      <c r="W26" s="136"/>
      <c r="X26" s="136"/>
      <c r="Y26" s="136"/>
      <c r="Z26" s="136"/>
      <c r="AA26" s="136"/>
      <c r="AB26" s="136"/>
      <c r="AC26" s="136"/>
      <c r="AD26" s="136"/>
      <c r="AE26" s="136"/>
      <c r="AF26" s="136"/>
    </row>
    <row r="27" spans="1:32" x14ac:dyDescent="0.2">
      <c r="A27" s="151" t="s">
        <v>233</v>
      </c>
      <c r="B27" s="110" t="s">
        <v>28</v>
      </c>
      <c r="C27" s="110" t="s">
        <v>28</v>
      </c>
      <c r="D27" s="110">
        <v>22.603999999999999</v>
      </c>
      <c r="E27" s="110">
        <v>18.957999999999998</v>
      </c>
      <c r="F27" s="110" t="s">
        <v>28</v>
      </c>
      <c r="G27" s="110" t="s">
        <v>28</v>
      </c>
      <c r="H27" s="110" t="s">
        <v>28</v>
      </c>
      <c r="I27" s="110" t="s">
        <v>28</v>
      </c>
      <c r="J27" s="110">
        <v>3271.0731999999998</v>
      </c>
      <c r="K27" s="110">
        <v>2162.5169999999998</v>
      </c>
      <c r="L27" s="110">
        <v>419.27</v>
      </c>
      <c r="M27" s="110">
        <v>118.526</v>
      </c>
      <c r="N27" s="138">
        <v>2719.2709999999997</v>
      </c>
      <c r="O27" s="136"/>
      <c r="P27" s="136"/>
      <c r="Q27" s="136"/>
      <c r="R27" s="136"/>
      <c r="S27" s="136"/>
      <c r="T27" s="136"/>
      <c r="U27" s="136"/>
      <c r="V27" s="136"/>
      <c r="W27" s="136"/>
      <c r="X27" s="136"/>
      <c r="Y27" s="136"/>
      <c r="Z27" s="136"/>
      <c r="AA27" s="136"/>
      <c r="AB27" s="136"/>
      <c r="AC27" s="136"/>
      <c r="AD27" s="136"/>
      <c r="AE27" s="136"/>
      <c r="AF27" s="136"/>
    </row>
    <row r="28" spans="1:32" x14ac:dyDescent="0.2">
      <c r="A28" s="151" t="s">
        <v>14</v>
      </c>
      <c r="B28" s="110">
        <v>15.05</v>
      </c>
      <c r="C28" s="110">
        <v>7.5549999999999997</v>
      </c>
      <c r="D28" s="110">
        <v>1008.763</v>
      </c>
      <c r="E28" s="110">
        <v>803.11099999999999</v>
      </c>
      <c r="F28" s="110" t="s">
        <v>28</v>
      </c>
      <c r="G28" s="110" t="s">
        <v>28</v>
      </c>
      <c r="H28" s="110">
        <v>2194.3056179999999</v>
      </c>
      <c r="I28" s="110">
        <v>6826.5129999999999</v>
      </c>
      <c r="J28" s="110">
        <v>3708.4717999999998</v>
      </c>
      <c r="K28" s="110">
        <v>3144.5239999999999</v>
      </c>
      <c r="L28" s="110">
        <v>17463.663</v>
      </c>
      <c r="M28" s="110">
        <v>33523.817000000003</v>
      </c>
      <c r="N28" s="138">
        <v>61769.182999999997</v>
      </c>
      <c r="O28" s="136"/>
      <c r="P28" s="136"/>
      <c r="Q28" s="136"/>
      <c r="R28" s="136"/>
      <c r="S28" s="136"/>
      <c r="T28" s="136"/>
      <c r="U28" s="136"/>
      <c r="V28" s="136"/>
      <c r="W28" s="136"/>
      <c r="X28" s="136"/>
      <c r="Y28" s="136"/>
      <c r="Z28" s="136"/>
      <c r="AA28" s="136"/>
      <c r="AB28" s="136"/>
      <c r="AC28" s="136"/>
      <c r="AD28" s="136"/>
      <c r="AE28" s="136"/>
      <c r="AF28" s="136"/>
    </row>
    <row r="29" spans="1:32" x14ac:dyDescent="0.2">
      <c r="A29" s="151" t="s">
        <v>47</v>
      </c>
      <c r="B29" s="110" t="s">
        <v>28</v>
      </c>
      <c r="C29" s="110" t="s">
        <v>28</v>
      </c>
      <c r="D29" s="110">
        <v>82.001999999999995</v>
      </c>
      <c r="E29" s="110">
        <v>646.09699999999998</v>
      </c>
      <c r="F29" s="110" t="s">
        <v>28</v>
      </c>
      <c r="G29" s="110" t="s">
        <v>28</v>
      </c>
      <c r="H29" s="110" t="s">
        <v>28</v>
      </c>
      <c r="I29" s="110" t="s">
        <v>28</v>
      </c>
      <c r="J29" s="110">
        <v>345.86799999999999</v>
      </c>
      <c r="K29" s="110">
        <v>407.262</v>
      </c>
      <c r="L29" s="110">
        <v>2.0910000000000002</v>
      </c>
      <c r="M29" s="110">
        <v>72.552000000000007</v>
      </c>
      <c r="N29" s="138">
        <v>1128.002</v>
      </c>
      <c r="O29" s="136"/>
      <c r="P29" s="136"/>
      <c r="Q29" s="136"/>
      <c r="R29" s="136"/>
      <c r="S29" s="136"/>
      <c r="T29" s="136"/>
      <c r="U29" s="136"/>
      <c r="V29" s="136"/>
      <c r="W29" s="136"/>
      <c r="X29" s="136"/>
      <c r="Y29" s="136"/>
      <c r="Z29" s="136"/>
      <c r="AA29" s="136"/>
      <c r="AB29" s="136"/>
      <c r="AC29" s="136"/>
      <c r="AD29" s="136"/>
      <c r="AE29" s="136"/>
      <c r="AF29" s="136"/>
    </row>
    <row r="30" spans="1:32" x14ac:dyDescent="0.2">
      <c r="A30" s="151" t="s">
        <v>16</v>
      </c>
      <c r="B30" s="110" t="s">
        <v>28</v>
      </c>
      <c r="C30" s="110" t="s">
        <v>28</v>
      </c>
      <c r="D30" s="110">
        <v>565.55200000000002</v>
      </c>
      <c r="E30" s="110">
        <v>483.65600000000001</v>
      </c>
      <c r="F30" s="110" t="s">
        <v>28</v>
      </c>
      <c r="G30" s="110" t="s">
        <v>28</v>
      </c>
      <c r="H30" s="110">
        <v>1475.8147739999999</v>
      </c>
      <c r="I30" s="110">
        <v>2915.6729999999998</v>
      </c>
      <c r="J30" s="110">
        <v>1483.509</v>
      </c>
      <c r="K30" s="110">
        <v>510.30900000000003</v>
      </c>
      <c r="L30" s="110">
        <v>420.21600000000001</v>
      </c>
      <c r="M30" s="110">
        <v>3226.4119999999998</v>
      </c>
      <c r="N30" s="138">
        <v>7556.2659999999996</v>
      </c>
      <c r="O30" s="136"/>
      <c r="P30" s="136"/>
      <c r="Q30" s="136"/>
      <c r="R30" s="136"/>
      <c r="S30" s="136"/>
      <c r="T30" s="136"/>
      <c r="U30" s="136"/>
      <c r="V30" s="136"/>
      <c r="W30" s="136"/>
      <c r="X30" s="136"/>
      <c r="Y30" s="136"/>
      <c r="Z30" s="136"/>
      <c r="AA30" s="136"/>
      <c r="AB30" s="136"/>
      <c r="AC30" s="136"/>
      <c r="AD30" s="136"/>
      <c r="AE30" s="136"/>
      <c r="AF30" s="136"/>
    </row>
    <row r="31" spans="1:32" x14ac:dyDescent="0.2">
      <c r="A31" s="151" t="s">
        <v>234</v>
      </c>
      <c r="B31" s="110">
        <v>150.75200000000001</v>
      </c>
      <c r="C31" s="110">
        <v>81.819000000000003</v>
      </c>
      <c r="D31" s="110">
        <v>2337.1080000000002</v>
      </c>
      <c r="E31" s="110">
        <v>928.96400000000006</v>
      </c>
      <c r="F31" s="110">
        <v>1.9</v>
      </c>
      <c r="G31" s="110">
        <v>1.657</v>
      </c>
      <c r="H31" s="110">
        <v>27.757653999999999</v>
      </c>
      <c r="I31" s="110">
        <v>55.424999999999997</v>
      </c>
      <c r="J31" s="110">
        <v>55.366999999999997</v>
      </c>
      <c r="K31" s="110">
        <v>57.777000000000001</v>
      </c>
      <c r="L31" s="110">
        <v>279.61599999999999</v>
      </c>
      <c r="M31" s="110">
        <v>1579.8140000000001</v>
      </c>
      <c r="N31" s="138">
        <v>2985.0720000000001</v>
      </c>
      <c r="O31" s="136"/>
      <c r="P31" s="136"/>
      <c r="Q31" s="136"/>
      <c r="R31" s="136"/>
      <c r="S31" s="136"/>
      <c r="T31" s="136"/>
      <c r="U31" s="136"/>
      <c r="V31" s="136"/>
      <c r="W31" s="136"/>
      <c r="X31" s="136"/>
      <c r="Y31" s="136"/>
      <c r="Z31" s="136"/>
      <c r="AA31" s="136"/>
      <c r="AB31" s="136"/>
      <c r="AC31" s="136"/>
      <c r="AD31" s="136"/>
      <c r="AE31" s="136"/>
      <c r="AF31" s="136"/>
    </row>
    <row r="32" spans="1:32" x14ac:dyDescent="0.2">
      <c r="A32" s="151" t="s">
        <v>18</v>
      </c>
      <c r="B32" s="110" t="s">
        <v>28</v>
      </c>
      <c r="C32" s="110" t="s">
        <v>28</v>
      </c>
      <c r="D32" s="110">
        <v>360.61649999999997</v>
      </c>
      <c r="E32" s="110">
        <v>552.20399999999995</v>
      </c>
      <c r="F32" s="110" t="s">
        <v>28</v>
      </c>
      <c r="G32" s="110" t="s">
        <v>28</v>
      </c>
      <c r="H32" s="110" t="s">
        <v>28</v>
      </c>
      <c r="I32" s="110" t="s">
        <v>28</v>
      </c>
      <c r="J32" s="110" t="s">
        <v>28</v>
      </c>
      <c r="K32" s="110" t="s">
        <v>28</v>
      </c>
      <c r="L32" s="110">
        <v>1.6479999999999999</v>
      </c>
      <c r="M32" s="110">
        <v>50.024999999999999</v>
      </c>
      <c r="N32" s="138">
        <v>603.87699999999995</v>
      </c>
      <c r="O32" s="136"/>
      <c r="P32" s="136"/>
      <c r="Q32" s="136"/>
      <c r="R32" s="136"/>
      <c r="S32" s="136"/>
      <c r="T32" s="136"/>
      <c r="U32" s="136"/>
      <c r="V32" s="136"/>
      <c r="W32" s="136"/>
      <c r="X32" s="136"/>
      <c r="Y32" s="136"/>
      <c r="Z32" s="136"/>
      <c r="AA32" s="136"/>
      <c r="AB32" s="136"/>
      <c r="AC32" s="136"/>
      <c r="AD32" s="136"/>
      <c r="AE32" s="136"/>
      <c r="AF32" s="136"/>
    </row>
    <row r="33" spans="1:32" x14ac:dyDescent="0.2">
      <c r="A33" s="151" t="s">
        <v>33</v>
      </c>
      <c r="B33" s="110" t="s">
        <v>28</v>
      </c>
      <c r="C33" s="110" t="s">
        <v>28</v>
      </c>
      <c r="D33" s="110">
        <v>671.16600000000005</v>
      </c>
      <c r="E33" s="110">
        <v>1481.8510000000001</v>
      </c>
      <c r="F33" s="110" t="s">
        <v>28</v>
      </c>
      <c r="G33" s="110" t="s">
        <v>28</v>
      </c>
      <c r="H33" s="110" t="s">
        <v>28</v>
      </c>
      <c r="I33" s="110" t="s">
        <v>28</v>
      </c>
      <c r="J33" s="110" t="s">
        <v>28</v>
      </c>
      <c r="K33" s="110" t="s">
        <v>28</v>
      </c>
      <c r="L33" s="110">
        <v>0.69499999999999995</v>
      </c>
      <c r="M33" s="110">
        <v>677.99300000000005</v>
      </c>
      <c r="N33" s="138">
        <v>2160.5390000000002</v>
      </c>
      <c r="O33" s="136"/>
      <c r="P33" s="136"/>
      <c r="Q33" s="136"/>
      <c r="R33" s="136"/>
      <c r="S33" s="136"/>
      <c r="T33" s="136"/>
      <c r="U33" s="136"/>
      <c r="V33" s="136"/>
      <c r="W33" s="136"/>
      <c r="X33" s="136"/>
      <c r="Y33" s="136"/>
      <c r="Z33" s="136"/>
      <c r="AA33" s="136"/>
      <c r="AB33" s="136"/>
      <c r="AC33" s="136"/>
      <c r="AD33" s="136"/>
      <c r="AE33" s="136"/>
      <c r="AF33" s="136"/>
    </row>
    <row r="34" spans="1:32" x14ac:dyDescent="0.2">
      <c r="A34" s="151" t="s">
        <v>19</v>
      </c>
      <c r="B34" s="110" t="s">
        <v>28</v>
      </c>
      <c r="C34" s="110" t="s">
        <v>28</v>
      </c>
      <c r="D34" s="110" t="s">
        <v>28</v>
      </c>
      <c r="E34" s="110" t="s">
        <v>28</v>
      </c>
      <c r="F34" s="110" t="s">
        <v>28</v>
      </c>
      <c r="G34" s="110" t="s">
        <v>28</v>
      </c>
      <c r="H34" s="110">
        <v>138.02061399999999</v>
      </c>
      <c r="I34" s="110">
        <v>870.38900000000001</v>
      </c>
      <c r="J34" s="110">
        <v>895.928</v>
      </c>
      <c r="K34" s="110">
        <v>23.065000000000001</v>
      </c>
      <c r="L34" s="110">
        <v>236.35499999999999</v>
      </c>
      <c r="M34" s="110">
        <v>1023.71</v>
      </c>
      <c r="N34" s="138">
        <v>2153.5190000000002</v>
      </c>
      <c r="O34" s="136"/>
      <c r="P34" s="136"/>
      <c r="Q34" s="136"/>
      <c r="R34" s="136"/>
      <c r="S34" s="136"/>
      <c r="T34" s="136"/>
      <c r="U34" s="136"/>
      <c r="V34" s="136"/>
      <c r="W34" s="136"/>
      <c r="X34" s="136"/>
      <c r="Y34" s="136"/>
      <c r="Z34" s="136"/>
      <c r="AA34" s="136"/>
      <c r="AB34" s="136"/>
      <c r="AC34" s="136"/>
      <c r="AD34" s="136"/>
      <c r="AE34" s="136"/>
      <c r="AF34" s="136"/>
    </row>
    <row r="35" spans="1:32" x14ac:dyDescent="0.2">
      <c r="A35" s="151" t="s">
        <v>43</v>
      </c>
      <c r="B35" s="110" t="s">
        <v>28</v>
      </c>
      <c r="C35" s="110" t="s">
        <v>28</v>
      </c>
      <c r="D35" s="110" t="s">
        <v>28</v>
      </c>
      <c r="E35" s="110" t="s">
        <v>28</v>
      </c>
      <c r="F35" s="110" t="s">
        <v>28</v>
      </c>
      <c r="G35" s="110" t="s">
        <v>28</v>
      </c>
      <c r="H35" s="110">
        <v>32.513803000000003</v>
      </c>
      <c r="I35" s="110">
        <v>591.21500000000003</v>
      </c>
      <c r="J35" s="110">
        <v>4389.9480000000003</v>
      </c>
      <c r="K35" s="110">
        <v>383.08600000000001</v>
      </c>
      <c r="L35" s="110">
        <v>3977.2</v>
      </c>
      <c r="M35" s="110">
        <v>4677.6750000000002</v>
      </c>
      <c r="N35" s="138">
        <v>9629.1759999999995</v>
      </c>
      <c r="O35" s="136"/>
      <c r="P35" s="136"/>
      <c r="Q35" s="136"/>
      <c r="R35" s="136"/>
      <c r="S35" s="136"/>
      <c r="T35" s="136"/>
      <c r="U35" s="136"/>
      <c r="V35" s="136"/>
      <c r="W35" s="136"/>
      <c r="X35" s="136"/>
      <c r="Y35" s="136"/>
      <c r="Z35" s="136"/>
      <c r="AA35" s="136"/>
      <c r="AB35" s="136"/>
      <c r="AC35" s="136"/>
      <c r="AD35" s="136"/>
      <c r="AE35" s="136"/>
      <c r="AF35" s="136"/>
    </row>
    <row r="36" spans="1:32" x14ac:dyDescent="0.2">
      <c r="A36" s="151" t="s">
        <v>20</v>
      </c>
      <c r="B36" s="110" t="s">
        <v>28</v>
      </c>
      <c r="C36" s="110" t="s">
        <v>28</v>
      </c>
      <c r="D36" s="110" t="s">
        <v>28</v>
      </c>
      <c r="E36" s="110" t="s">
        <v>28</v>
      </c>
      <c r="F36" s="110" t="s">
        <v>28</v>
      </c>
      <c r="G36" s="110" t="s">
        <v>28</v>
      </c>
      <c r="H36" s="110">
        <v>614.91097600000001</v>
      </c>
      <c r="I36" s="110">
        <v>1064.1030000000001</v>
      </c>
      <c r="J36" s="110">
        <v>379.03800000000001</v>
      </c>
      <c r="K36" s="110">
        <v>408.99</v>
      </c>
      <c r="L36" s="110">
        <v>68.257000000000005</v>
      </c>
      <c r="M36" s="110">
        <v>1675.0640000000001</v>
      </c>
      <c r="N36" s="138">
        <v>3216.4140000000002</v>
      </c>
      <c r="O36" s="136"/>
      <c r="P36" s="136"/>
      <c r="Q36" s="136"/>
      <c r="R36" s="136"/>
      <c r="S36" s="136"/>
      <c r="T36" s="136"/>
      <c r="U36" s="136"/>
      <c r="V36" s="136"/>
      <c r="W36" s="136"/>
      <c r="X36" s="136"/>
      <c r="Y36" s="136"/>
      <c r="Z36" s="136"/>
      <c r="AA36" s="136"/>
      <c r="AB36" s="136"/>
      <c r="AC36" s="136"/>
      <c r="AD36" s="136"/>
      <c r="AE36" s="136"/>
      <c r="AF36" s="136"/>
    </row>
    <row r="37" spans="1:32" x14ac:dyDescent="0.2">
      <c r="A37" s="151" t="s">
        <v>235</v>
      </c>
      <c r="B37" s="110" t="s">
        <v>28</v>
      </c>
      <c r="C37" s="110" t="s">
        <v>28</v>
      </c>
      <c r="D37" s="110">
        <v>284.495</v>
      </c>
      <c r="E37" s="110">
        <v>190.84299999999999</v>
      </c>
      <c r="F37" s="110" t="s">
        <v>28</v>
      </c>
      <c r="G37" s="110" t="s">
        <v>28</v>
      </c>
      <c r="H37" s="110">
        <v>661.40019999999993</v>
      </c>
      <c r="I37" s="110">
        <v>675.53300000000002</v>
      </c>
      <c r="J37" s="110">
        <v>3898.8773999999999</v>
      </c>
      <c r="K37" s="110">
        <v>2384.9630000000002</v>
      </c>
      <c r="L37" s="110">
        <v>22.283999999999999</v>
      </c>
      <c r="M37" s="110">
        <v>17.346</v>
      </c>
      <c r="N37" s="138">
        <v>3290.9690000000001</v>
      </c>
      <c r="O37" s="136"/>
      <c r="P37" s="136"/>
      <c r="Q37" s="136"/>
      <c r="R37" s="136"/>
      <c r="S37" s="136"/>
      <c r="T37" s="136"/>
      <c r="U37" s="136"/>
      <c r="V37" s="136"/>
      <c r="W37" s="136"/>
      <c r="X37" s="136"/>
      <c r="Y37" s="136"/>
      <c r="Z37" s="136"/>
      <c r="AA37" s="136"/>
      <c r="AB37" s="136"/>
      <c r="AC37" s="136"/>
      <c r="AD37" s="136"/>
      <c r="AE37" s="136"/>
      <c r="AF37" s="136"/>
    </row>
    <row r="38" spans="1:32" x14ac:dyDescent="0.2">
      <c r="A38" s="151" t="s">
        <v>21</v>
      </c>
      <c r="B38" s="110" t="s">
        <v>28</v>
      </c>
      <c r="C38" s="110" t="s">
        <v>28</v>
      </c>
      <c r="D38" s="110">
        <v>56.923000000000002</v>
      </c>
      <c r="E38" s="110">
        <v>132.28200000000001</v>
      </c>
      <c r="F38" s="110" t="s">
        <v>28</v>
      </c>
      <c r="G38" s="110" t="s">
        <v>28</v>
      </c>
      <c r="H38" s="110">
        <v>11404.11311</v>
      </c>
      <c r="I38" s="110">
        <v>55033.95</v>
      </c>
      <c r="J38" s="110">
        <v>2053.7600000000002</v>
      </c>
      <c r="K38" s="110">
        <v>67.397000000000006</v>
      </c>
      <c r="L38" s="110">
        <v>1364.1780000000001</v>
      </c>
      <c r="M38" s="110">
        <v>1823.1579999999999</v>
      </c>
      <c r="N38" s="138">
        <v>58420.964999999997</v>
      </c>
      <c r="O38" s="136"/>
      <c r="P38" s="136"/>
      <c r="Q38" s="136"/>
      <c r="R38" s="136"/>
      <c r="S38" s="136"/>
      <c r="T38" s="136"/>
      <c r="U38" s="136"/>
      <c r="V38" s="136"/>
      <c r="W38" s="136"/>
      <c r="X38" s="136"/>
      <c r="Y38" s="136"/>
      <c r="Z38" s="136"/>
      <c r="AA38" s="136"/>
      <c r="AB38" s="136"/>
      <c r="AC38" s="136"/>
      <c r="AD38" s="136"/>
      <c r="AE38" s="136"/>
      <c r="AF38" s="136"/>
    </row>
    <row r="39" spans="1:32" x14ac:dyDescent="0.2">
      <c r="A39" s="151" t="s">
        <v>30</v>
      </c>
      <c r="B39" s="110">
        <v>176.23500000000001</v>
      </c>
      <c r="C39" s="110">
        <v>222.11199999999999</v>
      </c>
      <c r="D39" s="110">
        <v>5750.9712</v>
      </c>
      <c r="E39" s="110">
        <v>6547.59</v>
      </c>
      <c r="F39" s="110" t="s">
        <v>28</v>
      </c>
      <c r="G39" s="110" t="s">
        <v>28</v>
      </c>
      <c r="H39" s="110" t="s">
        <v>28</v>
      </c>
      <c r="I39" s="110" t="s">
        <v>28</v>
      </c>
      <c r="J39" s="110" t="s">
        <v>28</v>
      </c>
      <c r="K39" s="110" t="s">
        <v>28</v>
      </c>
      <c r="L39" s="110" t="s">
        <v>28</v>
      </c>
      <c r="M39" s="110">
        <v>188.93199999999999</v>
      </c>
      <c r="N39" s="138">
        <v>6958.634</v>
      </c>
      <c r="O39" s="136"/>
      <c r="P39" s="136"/>
      <c r="Q39" s="136"/>
      <c r="R39" s="136"/>
      <c r="S39" s="136"/>
      <c r="T39" s="136"/>
      <c r="U39" s="136"/>
      <c r="V39" s="136"/>
      <c r="W39" s="136"/>
      <c r="X39" s="136"/>
      <c r="Y39" s="136"/>
      <c r="Z39" s="136"/>
      <c r="AA39" s="136"/>
      <c r="AB39" s="136"/>
      <c r="AC39" s="136"/>
      <c r="AD39" s="136"/>
      <c r="AE39" s="136"/>
      <c r="AF39" s="136"/>
    </row>
    <row r="40" spans="1:32" x14ac:dyDescent="0.2">
      <c r="A40" s="151" t="s">
        <v>22</v>
      </c>
      <c r="B40" s="110">
        <v>6</v>
      </c>
      <c r="C40" s="110">
        <v>6.2430000000000003</v>
      </c>
      <c r="D40" s="110">
        <v>0.26500000000000001</v>
      </c>
      <c r="E40" s="110">
        <v>4.7990000000000004</v>
      </c>
      <c r="F40" s="110" t="s">
        <v>28</v>
      </c>
      <c r="G40" s="110" t="s">
        <v>28</v>
      </c>
      <c r="H40" s="110">
        <v>7771.1105499999994</v>
      </c>
      <c r="I40" s="110">
        <v>9182.6200000000008</v>
      </c>
      <c r="J40" s="110">
        <v>941.14710000000002</v>
      </c>
      <c r="K40" s="110">
        <v>632.76499999999999</v>
      </c>
      <c r="L40" s="110">
        <v>155.19399999999999</v>
      </c>
      <c r="M40" s="110">
        <v>2074.0540000000001</v>
      </c>
      <c r="N40" s="138">
        <v>12055.675000000003</v>
      </c>
    </row>
    <row r="41" spans="1:32" x14ac:dyDescent="0.2">
      <c r="A41" s="151" t="s">
        <v>23</v>
      </c>
      <c r="B41" s="110" t="s">
        <v>28</v>
      </c>
      <c r="C41" s="110" t="s">
        <v>28</v>
      </c>
      <c r="D41" s="110" t="s">
        <v>28</v>
      </c>
      <c r="E41" s="110" t="s">
        <v>28</v>
      </c>
      <c r="F41" s="110" t="s">
        <v>28</v>
      </c>
      <c r="G41" s="110" t="s">
        <v>28</v>
      </c>
      <c r="H41" s="110">
        <v>601.69167000000004</v>
      </c>
      <c r="I41" s="110">
        <v>4221.8220000000001</v>
      </c>
      <c r="J41" s="110">
        <v>4051.9571999999998</v>
      </c>
      <c r="K41" s="110">
        <v>1649.299</v>
      </c>
      <c r="L41" s="110">
        <v>492.51400000000001</v>
      </c>
      <c r="M41" s="110">
        <v>2188.96</v>
      </c>
      <c r="N41" s="138">
        <v>8552.5950000000012</v>
      </c>
    </row>
    <row r="42" spans="1:32" x14ac:dyDescent="0.2">
      <c r="A42" s="151" t="s">
        <v>24</v>
      </c>
      <c r="B42" s="110" t="s">
        <v>28</v>
      </c>
      <c r="C42" s="110" t="s">
        <v>28</v>
      </c>
      <c r="D42" s="110" t="s">
        <v>28</v>
      </c>
      <c r="E42" s="110" t="s">
        <v>28</v>
      </c>
      <c r="F42" s="110" t="s">
        <v>28</v>
      </c>
      <c r="G42" s="110" t="s">
        <v>28</v>
      </c>
      <c r="H42" s="110">
        <v>14116.27298</v>
      </c>
      <c r="I42" s="110">
        <v>15852.965</v>
      </c>
      <c r="J42" s="110">
        <v>1776.6420000000001</v>
      </c>
      <c r="K42" s="110">
        <v>401.983</v>
      </c>
      <c r="L42" s="110">
        <v>226.90799999999999</v>
      </c>
      <c r="M42" s="110">
        <v>2869.4490000000001</v>
      </c>
      <c r="N42" s="138">
        <v>19351.305</v>
      </c>
    </row>
    <row r="43" spans="1:32" x14ac:dyDescent="0.2">
      <c r="A43" s="151" t="s">
        <v>31</v>
      </c>
      <c r="B43" s="110" t="s">
        <v>28</v>
      </c>
      <c r="C43" s="110" t="s">
        <v>28</v>
      </c>
      <c r="D43" s="110" t="s">
        <v>28</v>
      </c>
      <c r="E43" s="110" t="s">
        <v>28</v>
      </c>
      <c r="F43" s="110" t="s">
        <v>28</v>
      </c>
      <c r="G43" s="110" t="s">
        <v>28</v>
      </c>
      <c r="H43" s="110">
        <v>1319.455023</v>
      </c>
      <c r="I43" s="110">
        <v>4349.3609999999999</v>
      </c>
      <c r="J43" s="110">
        <v>1156.644</v>
      </c>
      <c r="K43" s="110">
        <v>62.499000000000002</v>
      </c>
      <c r="L43" s="110">
        <v>626.68499999999995</v>
      </c>
      <c r="M43" s="110">
        <v>14185.118</v>
      </c>
      <c r="N43" s="138">
        <v>19223.663</v>
      </c>
    </row>
    <row r="44" spans="1:32" x14ac:dyDescent="0.2">
      <c r="A44" s="151" t="s">
        <v>26</v>
      </c>
      <c r="B44" s="110" t="s">
        <v>28</v>
      </c>
      <c r="C44" s="110" t="s">
        <v>28</v>
      </c>
      <c r="D44" s="110" t="s">
        <v>28</v>
      </c>
      <c r="E44" s="110" t="s">
        <v>28</v>
      </c>
      <c r="F44" s="110" t="s">
        <v>28</v>
      </c>
      <c r="G44" s="110" t="s">
        <v>28</v>
      </c>
      <c r="H44" s="110">
        <v>2693.0629700000004</v>
      </c>
      <c r="I44" s="110">
        <v>4609.6639999999998</v>
      </c>
      <c r="J44" s="110">
        <v>836.95600000000002</v>
      </c>
      <c r="K44" s="110">
        <v>96.028000000000006</v>
      </c>
      <c r="L44" s="110">
        <v>8951.19</v>
      </c>
      <c r="M44" s="110">
        <v>4646.5590000000002</v>
      </c>
      <c r="N44" s="138">
        <v>18303.440999999999</v>
      </c>
    </row>
    <row r="45" spans="1:32" x14ac:dyDescent="0.2">
      <c r="A45" s="151" t="s">
        <v>86</v>
      </c>
      <c r="B45" s="110" t="s">
        <v>28</v>
      </c>
      <c r="C45" s="110" t="s">
        <v>28</v>
      </c>
      <c r="D45" s="110">
        <v>18.286000000000001</v>
      </c>
      <c r="E45" s="110">
        <v>48.774000000000001</v>
      </c>
      <c r="F45" s="110" t="s">
        <v>28</v>
      </c>
      <c r="G45" s="110" t="s">
        <v>28</v>
      </c>
      <c r="H45" s="110">
        <v>8749.0339800000002</v>
      </c>
      <c r="I45" s="110">
        <v>13336.829</v>
      </c>
      <c r="J45" s="110">
        <v>2060.3519000000001</v>
      </c>
      <c r="K45" s="110">
        <v>232.35400000000001</v>
      </c>
      <c r="L45" s="110">
        <v>5029.5559999999996</v>
      </c>
      <c r="M45" s="110">
        <v>6364.36</v>
      </c>
      <c r="N45" s="138">
        <v>25011.873</v>
      </c>
    </row>
    <row r="46" spans="1:32" x14ac:dyDescent="0.2">
      <c r="A46" s="151" t="s">
        <v>95</v>
      </c>
      <c r="B46" s="110">
        <v>1036.5740000000001</v>
      </c>
      <c r="C46" s="110">
        <v>2017.8219999999999</v>
      </c>
      <c r="D46" s="110">
        <v>4742.3876</v>
      </c>
      <c r="E46" s="110">
        <v>8142.0060000000003</v>
      </c>
      <c r="F46" s="110">
        <v>3190.0970000000002</v>
      </c>
      <c r="G46" s="110">
        <v>3206.7179999999998</v>
      </c>
      <c r="H46" s="110">
        <v>16520.169629</v>
      </c>
      <c r="I46" s="110">
        <v>29573.191999999999</v>
      </c>
      <c r="J46" s="110">
        <v>8324.5918000000001</v>
      </c>
      <c r="K46" s="110">
        <v>2681.694</v>
      </c>
      <c r="L46" s="110">
        <v>3065.5210000000002</v>
      </c>
      <c r="M46" s="110">
        <v>27967.094000000001</v>
      </c>
      <c r="N46" s="138">
        <v>76654.046999999991</v>
      </c>
    </row>
    <row r="47" spans="1:32" x14ac:dyDescent="0.2">
      <c r="A47" s="151" t="s">
        <v>107</v>
      </c>
      <c r="B47" s="110" t="s">
        <v>28</v>
      </c>
      <c r="C47" s="110" t="s">
        <v>28</v>
      </c>
      <c r="D47" s="110" t="s">
        <v>28</v>
      </c>
      <c r="E47" s="110" t="s">
        <v>28</v>
      </c>
      <c r="F47" s="110" t="s">
        <v>28</v>
      </c>
      <c r="G47" s="110" t="s">
        <v>28</v>
      </c>
      <c r="H47" s="110">
        <v>2705.3166699999997</v>
      </c>
      <c r="I47" s="110">
        <v>4836.6779999999999</v>
      </c>
      <c r="J47" s="110">
        <v>362.57</v>
      </c>
      <c r="K47" s="110">
        <v>193.892</v>
      </c>
      <c r="L47" s="110">
        <v>56288.695</v>
      </c>
      <c r="M47" s="110">
        <v>9511.509</v>
      </c>
      <c r="N47" s="138">
        <v>70830.774000000005</v>
      </c>
    </row>
    <row r="48" spans="1:32" x14ac:dyDescent="0.2">
      <c r="A48" s="151" t="s">
        <v>93</v>
      </c>
      <c r="B48" s="110">
        <v>140.95499999999993</v>
      </c>
      <c r="C48" s="110">
        <v>134.86000000000058</v>
      </c>
      <c r="D48" s="110">
        <v>2064.0649999999951</v>
      </c>
      <c r="E48" s="110">
        <v>3142.2010000000009</v>
      </c>
      <c r="F48" s="110">
        <v>101.5399999999936</v>
      </c>
      <c r="G48" s="110">
        <v>114.29299999999785</v>
      </c>
      <c r="H48" s="110">
        <v>2820.7237879997701</v>
      </c>
      <c r="I48" s="110">
        <v>5348.3869999999879</v>
      </c>
      <c r="J48" s="110">
        <v>6459.373799999943</v>
      </c>
      <c r="K48" s="110">
        <v>1902.2040000000125</v>
      </c>
      <c r="L48" s="110">
        <v>2118.9660000000731</v>
      </c>
      <c r="M48" s="110">
        <v>5409.9060000000754</v>
      </c>
      <c r="N48" s="110">
        <v>18170.817000000272</v>
      </c>
    </row>
    <row r="49" spans="1:14" x14ac:dyDescent="0.2">
      <c r="A49" s="156" t="s">
        <v>27</v>
      </c>
      <c r="B49" s="114">
        <v>4486.13</v>
      </c>
      <c r="C49" s="114">
        <v>5048.7280000000001</v>
      </c>
      <c r="D49" s="114">
        <v>58907.101899999987</v>
      </c>
      <c r="E49" s="114">
        <v>76973.527999999991</v>
      </c>
      <c r="F49" s="114">
        <v>50173.672999999995</v>
      </c>
      <c r="G49" s="114">
        <v>36208.275999999998</v>
      </c>
      <c r="H49" s="114">
        <v>444997.73678499961</v>
      </c>
      <c r="I49" s="114">
        <v>633683.16600000008</v>
      </c>
      <c r="J49" s="114">
        <v>586634.48669999989</v>
      </c>
      <c r="K49" s="114">
        <v>80727.750000000015</v>
      </c>
      <c r="L49" s="114">
        <v>360753.42200000002</v>
      </c>
      <c r="M49" s="114">
        <v>573062.29900000035</v>
      </c>
      <c r="N49" s="143">
        <v>1766457.1690000005</v>
      </c>
    </row>
    <row r="50" spans="1:14" x14ac:dyDescent="0.2">
      <c r="A50" s="148"/>
      <c r="B50" s="154">
        <v>4345.1750000000002</v>
      </c>
      <c r="C50" s="154">
        <v>4913.8679999999995</v>
      </c>
      <c r="D50" s="154">
        <v>56843.036899999992</v>
      </c>
      <c r="E50" s="154">
        <v>73831.32699999999</v>
      </c>
      <c r="F50" s="154">
        <v>50072.133000000002</v>
      </c>
      <c r="G50" s="154">
        <v>36093.983</v>
      </c>
      <c r="H50" s="154">
        <v>442177.01299699984</v>
      </c>
      <c r="I50" s="154">
        <v>628334.7790000001</v>
      </c>
      <c r="J50" s="154">
        <v>580175.11289999995</v>
      </c>
      <c r="K50" s="154">
        <v>78825.546000000002</v>
      </c>
      <c r="L50" s="154">
        <v>358634.45599999995</v>
      </c>
      <c r="M50" s="154">
        <v>567652.39300000027</v>
      </c>
      <c r="N50" s="138">
        <v>1748286.3520000002</v>
      </c>
    </row>
    <row r="51" spans="1:14" x14ac:dyDescent="0.2">
      <c r="A51" s="116" t="s">
        <v>48</v>
      </c>
      <c r="C51" s="137"/>
      <c r="D51" s="137"/>
      <c r="E51" s="137"/>
      <c r="F51" s="137"/>
      <c r="G51" s="139"/>
      <c r="H51" s="137"/>
      <c r="I51" s="137"/>
      <c r="J51" s="137"/>
    </row>
    <row r="52" spans="1:14" x14ac:dyDescent="0.2">
      <c r="A52" s="117" t="s">
        <v>225</v>
      </c>
    </row>
    <row r="53" spans="1:14" x14ac:dyDescent="0.2">
      <c r="A53" s="117"/>
    </row>
    <row r="54" spans="1:14" x14ac:dyDescent="0.2">
      <c r="A54" s="108" t="s">
        <v>37</v>
      </c>
    </row>
    <row r="55" spans="1:14" x14ac:dyDescent="0.2">
      <c r="A55" s="118" t="s">
        <v>104</v>
      </c>
    </row>
    <row r="56" spans="1:14" x14ac:dyDescent="0.2">
      <c r="A56" s="118" t="s">
        <v>55</v>
      </c>
    </row>
    <row r="57" spans="1:14" x14ac:dyDescent="0.2">
      <c r="A57" s="118" t="s">
        <v>56</v>
      </c>
    </row>
    <row r="58" spans="1:14" x14ac:dyDescent="0.2">
      <c r="A58" s="118" t="s">
        <v>67</v>
      </c>
    </row>
    <row r="59" spans="1:14" x14ac:dyDescent="0.2">
      <c r="A59" s="118" t="s">
        <v>68</v>
      </c>
    </row>
    <row r="60" spans="1:14" x14ac:dyDescent="0.2">
      <c r="A60" s="118" t="s">
        <v>72</v>
      </c>
    </row>
    <row r="61" spans="1:14" x14ac:dyDescent="0.2">
      <c r="A61" s="118" t="s">
        <v>73</v>
      </c>
    </row>
    <row r="62" spans="1:14" x14ac:dyDescent="0.2">
      <c r="A62" s="118" t="s">
        <v>74</v>
      </c>
    </row>
    <row r="63" spans="1:14" x14ac:dyDescent="0.2">
      <c r="A63" s="118" t="s">
        <v>237</v>
      </c>
    </row>
    <row r="64" spans="1:14" x14ac:dyDescent="0.2">
      <c r="A64" s="108" t="s">
        <v>50</v>
      </c>
    </row>
    <row r="65" spans="1:1" x14ac:dyDescent="0.2">
      <c r="A65" s="120" t="s">
        <v>105</v>
      </c>
    </row>
  </sheetData>
  <mergeCells count="6">
    <mergeCell ref="J3:K3"/>
    <mergeCell ref="A3:A5"/>
    <mergeCell ref="B3:C3"/>
    <mergeCell ref="D3:E3"/>
    <mergeCell ref="F3:G3"/>
    <mergeCell ref="H3:I3"/>
  </mergeCells>
  <pageMargins left="0.7" right="0.7" top="0.75" bottom="0.75" header="0.3" footer="0.3"/>
  <pageSetup paperSize="9"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O66"/>
  <sheetViews>
    <sheetView workbookViewId="0"/>
  </sheetViews>
  <sheetFormatPr defaultRowHeight="12.75" x14ac:dyDescent="0.2"/>
  <cols>
    <col min="1" max="1" width="20" style="82" customWidth="1"/>
    <col min="2" max="11" width="8.7109375" style="1" customWidth="1"/>
    <col min="12" max="12" width="12.28515625" style="1" customWidth="1"/>
    <col min="13" max="14" width="11.7109375" style="1" customWidth="1"/>
    <col min="15" max="16384" width="9.140625" style="1"/>
  </cols>
  <sheetData>
    <row r="1" spans="1:15" s="2" customFormat="1" ht="17.25" customHeight="1" x14ac:dyDescent="0.25">
      <c r="A1" s="76" t="s">
        <v>82</v>
      </c>
    </row>
    <row r="2" spans="1:15" s="2" customFormat="1" ht="11.25" customHeight="1" x14ac:dyDescent="0.25">
      <c r="A2" s="76"/>
    </row>
    <row r="3" spans="1:15" s="77" customFormat="1" ht="25.5" customHeight="1" x14ac:dyDescent="0.2">
      <c r="A3" s="175" t="s">
        <v>38</v>
      </c>
      <c r="B3" s="170" t="s">
        <v>36</v>
      </c>
      <c r="C3" s="170"/>
      <c r="D3" s="173" t="s">
        <v>65</v>
      </c>
      <c r="E3" s="173"/>
      <c r="F3" s="170" t="s">
        <v>35</v>
      </c>
      <c r="G3" s="170"/>
      <c r="H3" s="173" t="s">
        <v>66</v>
      </c>
      <c r="I3" s="173"/>
      <c r="J3" s="170" t="s">
        <v>70</v>
      </c>
      <c r="K3" s="170"/>
      <c r="L3" s="90" t="s">
        <v>53</v>
      </c>
      <c r="M3" s="90" t="s">
        <v>71</v>
      </c>
      <c r="N3" s="90" t="s">
        <v>34</v>
      </c>
    </row>
    <row r="4" spans="1:15" s="77" customFormat="1" ht="10.5" x14ac:dyDescent="0.2">
      <c r="A4" s="175"/>
      <c r="B4" s="89" t="s">
        <v>59</v>
      </c>
      <c r="C4" s="89" t="s">
        <v>57</v>
      </c>
      <c r="D4" s="90" t="s">
        <v>69</v>
      </c>
      <c r="E4" s="90" t="s">
        <v>57</v>
      </c>
      <c r="F4" s="89" t="s">
        <v>58</v>
      </c>
      <c r="G4" s="89" t="s">
        <v>57</v>
      </c>
      <c r="H4" s="90" t="s">
        <v>58</v>
      </c>
      <c r="I4" s="90" t="s">
        <v>57</v>
      </c>
      <c r="J4" s="89" t="s">
        <v>58</v>
      </c>
      <c r="K4" s="89" t="s">
        <v>57</v>
      </c>
      <c r="L4" s="90" t="s">
        <v>57</v>
      </c>
      <c r="M4" s="90" t="s">
        <v>57</v>
      </c>
      <c r="N4" s="90" t="s">
        <v>57</v>
      </c>
    </row>
    <row r="5" spans="1:15" s="31" customFormat="1" ht="12.75" customHeight="1" x14ac:dyDescent="0.2">
      <c r="A5" s="176"/>
      <c r="B5" s="88" t="s">
        <v>60</v>
      </c>
      <c r="C5" s="88" t="s">
        <v>61</v>
      </c>
      <c r="D5" s="88" t="s">
        <v>62</v>
      </c>
      <c r="E5" s="88" t="s">
        <v>61</v>
      </c>
      <c r="F5" s="88" t="s">
        <v>63</v>
      </c>
      <c r="G5" s="88" t="s">
        <v>61</v>
      </c>
      <c r="H5" s="88" t="s">
        <v>63</v>
      </c>
      <c r="I5" s="88" t="s">
        <v>61</v>
      </c>
      <c r="J5" s="88" t="s">
        <v>64</v>
      </c>
      <c r="K5" s="88" t="s">
        <v>61</v>
      </c>
      <c r="L5" s="88" t="s">
        <v>61</v>
      </c>
      <c r="M5" s="88" t="s">
        <v>61</v>
      </c>
      <c r="N5" s="88" t="s">
        <v>61</v>
      </c>
    </row>
    <row r="6" spans="1:15" s="5" customFormat="1" ht="11.25" customHeight="1" x14ac:dyDescent="0.2">
      <c r="A6" s="38" t="s">
        <v>0</v>
      </c>
      <c r="B6" s="14">
        <v>3333</v>
      </c>
      <c r="C6" s="14">
        <v>1646.395</v>
      </c>
      <c r="D6" s="14">
        <v>5299</v>
      </c>
      <c r="E6" s="14">
        <v>5027.4979999999996</v>
      </c>
      <c r="F6" s="15">
        <v>29</v>
      </c>
      <c r="G6" s="15">
        <v>32.715000000000003</v>
      </c>
      <c r="H6" s="14">
        <v>131587.818</v>
      </c>
      <c r="I6" s="14">
        <v>155377.122</v>
      </c>
      <c r="J6" s="14">
        <v>13351</v>
      </c>
      <c r="K6" s="14">
        <v>12944.154</v>
      </c>
      <c r="L6" s="14">
        <v>19441.608</v>
      </c>
      <c r="M6" s="14">
        <v>151044.927</v>
      </c>
      <c r="N6" s="16">
        <v>345514.41900000005</v>
      </c>
      <c r="O6" s="10"/>
    </row>
    <row r="7" spans="1:15" s="5" customFormat="1" ht="11.25" customHeight="1" x14ac:dyDescent="0.2">
      <c r="A7" s="38" t="s">
        <v>1</v>
      </c>
      <c r="B7" s="15" t="s">
        <v>28</v>
      </c>
      <c r="C7" s="15" t="s">
        <v>28</v>
      </c>
      <c r="D7" s="15" t="s">
        <v>28</v>
      </c>
      <c r="E7" s="15" t="s">
        <v>28</v>
      </c>
      <c r="F7" s="15" t="s">
        <v>28</v>
      </c>
      <c r="G7" s="15" t="s">
        <v>28</v>
      </c>
      <c r="H7" s="14">
        <v>1604.192</v>
      </c>
      <c r="I7" s="14">
        <v>3517.9160000000002</v>
      </c>
      <c r="J7" s="15">
        <v>13</v>
      </c>
      <c r="K7" s="15">
        <v>18.135999999999999</v>
      </c>
      <c r="L7" s="15">
        <v>20.437999999999999</v>
      </c>
      <c r="M7" s="14">
        <v>262.25099999999998</v>
      </c>
      <c r="N7" s="16">
        <v>3817.741</v>
      </c>
      <c r="O7" s="10"/>
    </row>
    <row r="8" spans="1:15" s="5" customFormat="1" ht="11.25" customHeight="1" x14ac:dyDescent="0.2">
      <c r="A8" s="38" t="s">
        <v>2</v>
      </c>
      <c r="B8" s="15" t="s">
        <v>28</v>
      </c>
      <c r="C8" s="15"/>
      <c r="D8" s="15" t="s">
        <v>28</v>
      </c>
      <c r="E8" s="15" t="s">
        <v>28</v>
      </c>
      <c r="F8" s="15" t="s">
        <v>28</v>
      </c>
      <c r="G8" s="15" t="s">
        <v>28</v>
      </c>
      <c r="H8" s="14">
        <v>4794.03</v>
      </c>
      <c r="I8" s="14">
        <v>8778.3799999999992</v>
      </c>
      <c r="J8" s="15">
        <v>82</v>
      </c>
      <c r="K8" s="15">
        <v>113.51300000000001</v>
      </c>
      <c r="L8" s="15">
        <v>152.346</v>
      </c>
      <c r="M8" s="14">
        <v>1339.2529999999999</v>
      </c>
      <c r="N8" s="16">
        <v>10383.491999999998</v>
      </c>
      <c r="O8" s="10"/>
    </row>
    <row r="9" spans="1:15" s="5" customFormat="1" ht="11.25" customHeight="1" x14ac:dyDescent="0.2">
      <c r="A9" s="38" t="s">
        <v>3</v>
      </c>
      <c r="B9" s="15">
        <v>84</v>
      </c>
      <c r="C9" s="15">
        <v>38.872</v>
      </c>
      <c r="D9" s="15">
        <v>18</v>
      </c>
      <c r="E9" s="15">
        <v>21.158000000000001</v>
      </c>
      <c r="F9" s="15">
        <v>50</v>
      </c>
      <c r="G9" s="15">
        <v>50.786000000000001</v>
      </c>
      <c r="H9" s="14">
        <v>1731.0309999999999</v>
      </c>
      <c r="I9" s="14">
        <v>2207.8490000000002</v>
      </c>
      <c r="J9" s="14">
        <v>16</v>
      </c>
      <c r="K9" s="14">
        <v>18.800999999999998</v>
      </c>
      <c r="L9" s="14">
        <v>1.972</v>
      </c>
      <c r="M9" s="14">
        <v>2789.7489999999998</v>
      </c>
      <c r="N9" s="16">
        <v>5130.1870000000008</v>
      </c>
      <c r="O9" s="10"/>
    </row>
    <row r="10" spans="1:15" s="5" customFormat="1" ht="11.25" customHeight="1" x14ac:dyDescent="0.2">
      <c r="A10" s="38" t="s">
        <v>29</v>
      </c>
      <c r="B10" s="15" t="s">
        <v>28</v>
      </c>
      <c r="C10" s="15" t="s">
        <v>28</v>
      </c>
      <c r="D10" s="14">
        <v>60</v>
      </c>
      <c r="E10" s="14">
        <v>78.174000000000007</v>
      </c>
      <c r="F10" s="15" t="s">
        <v>28</v>
      </c>
      <c r="G10" s="15" t="s">
        <v>28</v>
      </c>
      <c r="H10" s="14">
        <v>4744.9089999999997</v>
      </c>
      <c r="I10" s="14">
        <v>20054.715</v>
      </c>
      <c r="J10" s="14">
        <v>103</v>
      </c>
      <c r="K10" s="14">
        <v>64.006</v>
      </c>
      <c r="L10" s="14">
        <v>609.83699999999999</v>
      </c>
      <c r="M10" s="14">
        <v>7288.0320000000002</v>
      </c>
      <c r="N10" s="16">
        <v>28094.763999999999</v>
      </c>
      <c r="O10" s="10"/>
    </row>
    <row r="11" spans="1:15" s="5" customFormat="1" ht="11.25" customHeight="1" x14ac:dyDescent="0.2">
      <c r="A11" s="38" t="s">
        <v>4</v>
      </c>
      <c r="B11" s="15" t="s">
        <v>28</v>
      </c>
      <c r="C11" s="15" t="s">
        <v>28</v>
      </c>
      <c r="D11" s="14">
        <v>13033</v>
      </c>
      <c r="E11" s="14">
        <v>19143.213</v>
      </c>
      <c r="F11" s="15">
        <v>219</v>
      </c>
      <c r="G11" s="15">
        <v>222.953</v>
      </c>
      <c r="H11" s="14">
        <v>1458.797</v>
      </c>
      <c r="I11" s="14">
        <v>3028.7730000000001</v>
      </c>
      <c r="J11" s="14">
        <v>265</v>
      </c>
      <c r="K11" s="14">
        <v>1325.1030000000001</v>
      </c>
      <c r="L11" s="14">
        <v>341.61900000000003</v>
      </c>
      <c r="M11" s="14">
        <v>4044.5749999999998</v>
      </c>
      <c r="N11" s="16">
        <v>28107.235999999997</v>
      </c>
      <c r="O11" s="10"/>
    </row>
    <row r="12" spans="1:15" s="5" customFormat="1" ht="11.25" customHeight="1" x14ac:dyDescent="0.2">
      <c r="A12" s="38" t="s">
        <v>40</v>
      </c>
      <c r="B12" s="15" t="s">
        <v>28</v>
      </c>
      <c r="C12" s="15" t="s">
        <v>28</v>
      </c>
      <c r="D12" s="15" t="s">
        <v>28</v>
      </c>
      <c r="E12" s="15" t="s">
        <v>28</v>
      </c>
      <c r="F12" s="15" t="s">
        <v>28</v>
      </c>
      <c r="G12" s="15" t="s">
        <v>28</v>
      </c>
      <c r="H12" s="14">
        <v>102.05200000000001</v>
      </c>
      <c r="I12" s="14">
        <v>467.37299999999999</v>
      </c>
      <c r="J12" s="15" t="s">
        <v>28</v>
      </c>
      <c r="K12" s="15" t="s">
        <v>28</v>
      </c>
      <c r="L12" s="14">
        <v>3214.4580000000001</v>
      </c>
      <c r="M12" s="14">
        <v>12862.864</v>
      </c>
      <c r="N12" s="16">
        <v>16543.695</v>
      </c>
      <c r="O12" s="10"/>
    </row>
    <row r="13" spans="1:15" s="5" customFormat="1" ht="11.25" customHeight="1" x14ac:dyDescent="0.2">
      <c r="A13" s="38" t="s">
        <v>5</v>
      </c>
      <c r="B13" s="15" t="s">
        <v>28</v>
      </c>
      <c r="C13" s="15" t="s">
        <v>28</v>
      </c>
      <c r="D13" s="14">
        <v>2</v>
      </c>
      <c r="E13" s="14">
        <v>1.948</v>
      </c>
      <c r="F13" s="15" t="s">
        <v>28</v>
      </c>
      <c r="G13" s="15" t="s">
        <v>28</v>
      </c>
      <c r="H13" s="14">
        <v>113.601</v>
      </c>
      <c r="I13" s="14">
        <v>303.18599999999998</v>
      </c>
      <c r="J13" s="14">
        <v>1</v>
      </c>
      <c r="K13" s="14">
        <v>1.883</v>
      </c>
      <c r="L13" s="14">
        <v>1013.987</v>
      </c>
      <c r="M13" s="14">
        <v>4612.3990000000003</v>
      </c>
      <c r="N13" s="16">
        <v>5933.4030000000002</v>
      </c>
      <c r="O13" s="10"/>
    </row>
    <row r="14" spans="1:15" s="5" customFormat="1" ht="11.25" customHeight="1" x14ac:dyDescent="0.2">
      <c r="A14" s="38" t="s">
        <v>6</v>
      </c>
      <c r="B14" s="15">
        <v>216</v>
      </c>
      <c r="C14" s="15">
        <v>193.489</v>
      </c>
      <c r="D14" s="14">
        <v>4557</v>
      </c>
      <c r="E14" s="14">
        <v>4254.1409999999996</v>
      </c>
      <c r="F14" s="15" t="s">
        <v>28</v>
      </c>
      <c r="G14" s="15" t="s">
        <v>28</v>
      </c>
      <c r="H14" s="19" t="s">
        <v>28</v>
      </c>
      <c r="I14" s="15" t="s">
        <v>28</v>
      </c>
      <c r="J14" s="14">
        <v>851</v>
      </c>
      <c r="K14" s="14">
        <v>1067.5119999999999</v>
      </c>
      <c r="L14" s="14">
        <v>581.51300000000003</v>
      </c>
      <c r="M14" s="14">
        <v>467.78800000000001</v>
      </c>
      <c r="N14" s="16">
        <v>6565.4429999999993</v>
      </c>
      <c r="O14" s="10"/>
    </row>
    <row r="15" spans="1:15" s="5" customFormat="1" ht="11.25" customHeight="1" x14ac:dyDescent="0.2">
      <c r="A15" s="38" t="s">
        <v>7</v>
      </c>
      <c r="B15" s="15" t="s">
        <v>28</v>
      </c>
      <c r="C15" s="15" t="s">
        <v>28</v>
      </c>
      <c r="D15" s="15">
        <v>87</v>
      </c>
      <c r="E15" s="15">
        <v>71.988</v>
      </c>
      <c r="F15" s="15" t="s">
        <v>28</v>
      </c>
      <c r="G15" s="15" t="s">
        <v>28</v>
      </c>
      <c r="H15" s="14">
        <v>19434.43</v>
      </c>
      <c r="I15" s="14">
        <v>35981.468999999997</v>
      </c>
      <c r="J15" s="15">
        <v>5</v>
      </c>
      <c r="K15" s="19">
        <v>11.013999999999999</v>
      </c>
      <c r="L15" s="19">
        <v>7.7450000000000001</v>
      </c>
      <c r="M15" s="14">
        <v>654.04899999999998</v>
      </c>
      <c r="N15" s="16">
        <v>36726.264999999992</v>
      </c>
      <c r="O15" s="10"/>
    </row>
    <row r="16" spans="1:15" s="5" customFormat="1" ht="11.25" customHeight="1" x14ac:dyDescent="0.2">
      <c r="A16" s="38" t="s">
        <v>8</v>
      </c>
      <c r="B16" s="15" t="s">
        <v>28</v>
      </c>
      <c r="C16" s="15" t="s">
        <v>28</v>
      </c>
      <c r="D16" s="15" t="s">
        <v>28</v>
      </c>
      <c r="E16" s="15">
        <v>1.464</v>
      </c>
      <c r="F16" s="15" t="s">
        <v>28</v>
      </c>
      <c r="G16" s="19" t="s">
        <v>28</v>
      </c>
      <c r="H16" s="14">
        <v>1435.289</v>
      </c>
      <c r="I16" s="14">
        <v>4351.2650000000003</v>
      </c>
      <c r="J16" s="15">
        <v>28</v>
      </c>
      <c r="K16" s="19">
        <v>34.604999999999997</v>
      </c>
      <c r="L16" s="19">
        <v>1214.424</v>
      </c>
      <c r="M16" s="14">
        <v>21327.609</v>
      </c>
      <c r="N16" s="16">
        <v>26929.366999999998</v>
      </c>
      <c r="O16" s="10"/>
    </row>
    <row r="17" spans="1:15" s="5" customFormat="1" ht="11.25" customHeight="1" x14ac:dyDescent="0.2">
      <c r="A17" s="41" t="s">
        <v>9</v>
      </c>
      <c r="B17" s="15">
        <v>1</v>
      </c>
      <c r="C17" s="15">
        <v>2.3159999999999998</v>
      </c>
      <c r="D17" s="15">
        <v>3</v>
      </c>
      <c r="E17" s="15">
        <v>2.2040000000000002</v>
      </c>
      <c r="F17" s="15">
        <v>28</v>
      </c>
      <c r="G17" s="15">
        <v>90.42</v>
      </c>
      <c r="H17" s="14">
        <v>16314.487999999999</v>
      </c>
      <c r="I17" s="14">
        <v>37869.014999999999</v>
      </c>
      <c r="J17" s="14">
        <v>147</v>
      </c>
      <c r="K17" s="14">
        <v>1090.511</v>
      </c>
      <c r="L17" s="14">
        <v>673.726</v>
      </c>
      <c r="M17" s="14">
        <v>11178.424000000001</v>
      </c>
      <c r="N17" s="16">
        <v>50905.615999999995</v>
      </c>
      <c r="O17" s="10"/>
    </row>
    <row r="18" spans="1:15" s="5" customFormat="1" ht="11.25" customHeight="1" x14ac:dyDescent="0.2">
      <c r="A18" s="38" t="s">
        <v>41</v>
      </c>
      <c r="B18" s="15" t="s">
        <v>28</v>
      </c>
      <c r="C18" s="15" t="s">
        <v>28</v>
      </c>
      <c r="D18" s="15">
        <v>14</v>
      </c>
      <c r="E18" s="15">
        <v>6.24</v>
      </c>
      <c r="F18" s="15" t="s">
        <v>28</v>
      </c>
      <c r="G18" s="15" t="s">
        <v>28</v>
      </c>
      <c r="H18" s="14">
        <v>115.333</v>
      </c>
      <c r="I18" s="14">
        <v>291.09100000000001</v>
      </c>
      <c r="J18" s="15" t="s">
        <v>28</v>
      </c>
      <c r="K18" s="15" t="s">
        <v>28</v>
      </c>
      <c r="L18" s="15">
        <v>278.99700000000001</v>
      </c>
      <c r="M18" s="14">
        <v>2498.9659999999999</v>
      </c>
      <c r="N18" s="16">
        <v>3075.2939999999994</v>
      </c>
      <c r="O18" s="10"/>
    </row>
    <row r="19" spans="1:15" s="5" customFormat="1" ht="11.25" customHeight="1" x14ac:dyDescent="0.2">
      <c r="A19" s="38" t="s">
        <v>10</v>
      </c>
      <c r="B19" s="15" t="s">
        <v>28</v>
      </c>
      <c r="C19" s="15" t="s">
        <v>28</v>
      </c>
      <c r="D19" s="15" t="s">
        <v>28</v>
      </c>
      <c r="E19" s="15" t="s">
        <v>28</v>
      </c>
      <c r="F19" s="15" t="s">
        <v>28</v>
      </c>
      <c r="G19" s="15" t="s">
        <v>28</v>
      </c>
      <c r="H19" s="14">
        <v>535.22299999999996</v>
      </c>
      <c r="I19" s="14">
        <v>178.114</v>
      </c>
      <c r="J19" s="15" t="s">
        <v>28</v>
      </c>
      <c r="K19" s="15" t="s">
        <v>28</v>
      </c>
      <c r="L19" s="15">
        <v>566.46400000000006</v>
      </c>
      <c r="M19" s="14">
        <v>909.13800000000003</v>
      </c>
      <c r="N19" s="16">
        <v>1652.7160000000001</v>
      </c>
      <c r="O19" s="10"/>
    </row>
    <row r="20" spans="1:15" s="5" customFormat="1" ht="11.25" customHeight="1" x14ac:dyDescent="0.2">
      <c r="A20" s="38" t="s">
        <v>11</v>
      </c>
      <c r="B20" s="15" t="s">
        <v>28</v>
      </c>
      <c r="C20" s="15" t="s">
        <v>28</v>
      </c>
      <c r="D20" s="14">
        <v>1024</v>
      </c>
      <c r="E20" s="14">
        <v>1518.7460000000001</v>
      </c>
      <c r="F20" s="15">
        <v>10000</v>
      </c>
      <c r="G20" s="15">
        <v>7701.5450000000001</v>
      </c>
      <c r="H20" s="14">
        <v>27824.989000000001</v>
      </c>
      <c r="I20" s="14">
        <v>38245.294000000002</v>
      </c>
      <c r="J20" s="14">
        <v>1135</v>
      </c>
      <c r="K20" s="14">
        <v>1246.173</v>
      </c>
      <c r="L20" s="14">
        <v>9349.1540000000005</v>
      </c>
      <c r="M20" s="14">
        <v>23800.715</v>
      </c>
      <c r="N20" s="16">
        <v>81861.627000000008</v>
      </c>
      <c r="O20" s="10"/>
    </row>
    <row r="21" spans="1:15" s="5" customFormat="1" ht="11.25" customHeight="1" x14ac:dyDescent="0.2">
      <c r="A21" s="38" t="s">
        <v>12</v>
      </c>
      <c r="B21" s="15" t="s">
        <v>28</v>
      </c>
      <c r="C21" s="15" t="s">
        <v>28</v>
      </c>
      <c r="D21" s="15">
        <v>155</v>
      </c>
      <c r="E21" s="15">
        <v>298.53199999999998</v>
      </c>
      <c r="F21" s="15" t="s">
        <v>28</v>
      </c>
      <c r="G21" s="15" t="s">
        <v>28</v>
      </c>
      <c r="H21" s="14">
        <v>9181.4580000000005</v>
      </c>
      <c r="I21" s="14">
        <v>17631.672999999999</v>
      </c>
      <c r="J21" s="15">
        <v>3</v>
      </c>
      <c r="K21" s="15">
        <v>78.706000000000003</v>
      </c>
      <c r="L21" s="15">
        <v>12570.707</v>
      </c>
      <c r="M21" s="14">
        <v>3340.4949999999999</v>
      </c>
      <c r="N21" s="16">
        <v>33921.112999999998</v>
      </c>
      <c r="O21" s="10"/>
    </row>
    <row r="22" spans="1:15" s="5" customFormat="1" ht="11.25" customHeight="1" x14ac:dyDescent="0.2">
      <c r="A22" s="38" t="s">
        <v>13</v>
      </c>
      <c r="B22" s="15" t="s">
        <v>28</v>
      </c>
      <c r="C22" s="15" t="s">
        <v>28</v>
      </c>
      <c r="D22" s="15" t="s">
        <v>28</v>
      </c>
      <c r="E22" s="15" t="s">
        <v>28</v>
      </c>
      <c r="F22" s="15">
        <v>6</v>
      </c>
      <c r="G22" s="15">
        <v>38.197000000000003</v>
      </c>
      <c r="H22" s="14">
        <v>15302.049000000001</v>
      </c>
      <c r="I22" s="14">
        <v>32692.656999999999</v>
      </c>
      <c r="J22" s="15">
        <v>7</v>
      </c>
      <c r="K22" s="15">
        <v>7.726</v>
      </c>
      <c r="L22" s="15">
        <v>62.59</v>
      </c>
      <c r="M22" s="14">
        <v>3913.2420000000002</v>
      </c>
      <c r="N22" s="16">
        <v>36715.411999999997</v>
      </c>
      <c r="O22" s="10"/>
    </row>
    <row r="23" spans="1:15" s="5" customFormat="1" ht="11.25" customHeight="1" x14ac:dyDescent="0.2">
      <c r="A23" s="41" t="s">
        <v>42</v>
      </c>
      <c r="B23" s="15" t="s">
        <v>28</v>
      </c>
      <c r="C23" s="19" t="s">
        <v>28</v>
      </c>
      <c r="D23" s="15" t="s">
        <v>28</v>
      </c>
      <c r="E23" s="15" t="s">
        <v>28</v>
      </c>
      <c r="F23" s="15" t="s">
        <v>28</v>
      </c>
      <c r="G23" s="15" t="s">
        <v>28</v>
      </c>
      <c r="H23" s="14">
        <v>7126.5370000000003</v>
      </c>
      <c r="I23" s="14">
        <v>12160.191000000001</v>
      </c>
      <c r="J23" s="15" t="s">
        <v>28</v>
      </c>
      <c r="K23" s="15" t="s">
        <v>28</v>
      </c>
      <c r="L23" s="15">
        <v>138.18</v>
      </c>
      <c r="M23" s="14">
        <v>1447.854</v>
      </c>
      <c r="N23" s="16">
        <v>13746.225</v>
      </c>
      <c r="O23" s="10"/>
    </row>
    <row r="24" spans="1:15" s="5" customFormat="1" ht="11.25" customHeight="1" x14ac:dyDescent="0.2">
      <c r="A24" s="38" t="s">
        <v>14</v>
      </c>
      <c r="B24" s="15" t="s">
        <v>28</v>
      </c>
      <c r="C24" s="19" t="s">
        <v>28</v>
      </c>
      <c r="D24" s="14">
        <v>222</v>
      </c>
      <c r="E24" s="14">
        <v>362.16</v>
      </c>
      <c r="F24" s="15" t="s">
        <v>28</v>
      </c>
      <c r="G24" s="15" t="s">
        <v>28</v>
      </c>
      <c r="H24" s="14">
        <v>304.80900000000003</v>
      </c>
      <c r="I24" s="14">
        <v>1140.8699999999999</v>
      </c>
      <c r="J24" s="14">
        <v>1520</v>
      </c>
      <c r="K24" s="14">
        <v>1424.53</v>
      </c>
      <c r="L24" s="14">
        <v>21501.3</v>
      </c>
      <c r="M24" s="14">
        <v>7196.6689999999999</v>
      </c>
      <c r="N24" s="16">
        <v>31625.528999999995</v>
      </c>
      <c r="O24" s="10"/>
    </row>
    <row r="25" spans="1:15" s="5" customFormat="1" ht="11.25" customHeight="1" x14ac:dyDescent="0.2">
      <c r="A25" s="38" t="s">
        <v>15</v>
      </c>
      <c r="B25" s="15" t="s">
        <v>28</v>
      </c>
      <c r="C25" s="15" t="s">
        <v>28</v>
      </c>
      <c r="D25" s="15" t="s">
        <v>28</v>
      </c>
      <c r="E25" s="15" t="s">
        <v>28</v>
      </c>
      <c r="F25" s="15" t="s">
        <v>28</v>
      </c>
      <c r="G25" s="15" t="s">
        <v>28</v>
      </c>
      <c r="H25" s="14">
        <v>1.1850000000000001</v>
      </c>
      <c r="I25" s="14">
        <v>11.172000000000001</v>
      </c>
      <c r="J25" s="15" t="s">
        <v>28</v>
      </c>
      <c r="K25" s="15" t="s">
        <v>28</v>
      </c>
      <c r="L25" s="14">
        <v>323.41699999999997</v>
      </c>
      <c r="M25" s="14">
        <v>564.27</v>
      </c>
      <c r="N25" s="16">
        <v>897.85899999999992</v>
      </c>
      <c r="O25" s="10"/>
    </row>
    <row r="26" spans="1:15" s="5" customFormat="1" ht="11.25" customHeight="1" x14ac:dyDescent="0.2">
      <c r="A26" s="38" t="s">
        <v>16</v>
      </c>
      <c r="B26" s="15" t="s">
        <v>28</v>
      </c>
      <c r="C26" s="15" t="s">
        <v>28</v>
      </c>
      <c r="D26" s="15" t="s">
        <v>28</v>
      </c>
      <c r="E26" s="15" t="s">
        <v>28</v>
      </c>
      <c r="F26" s="15" t="s">
        <v>28</v>
      </c>
      <c r="G26" s="15" t="s">
        <v>28</v>
      </c>
      <c r="H26" s="14">
        <v>1560.0070000000001</v>
      </c>
      <c r="I26" s="14">
        <v>3260.2420000000002</v>
      </c>
      <c r="J26" s="15" t="s">
        <v>28</v>
      </c>
      <c r="K26" s="14">
        <v>2.0329999999999999</v>
      </c>
      <c r="L26" s="14">
        <v>492.54</v>
      </c>
      <c r="M26" s="14">
        <v>6393.5469999999996</v>
      </c>
      <c r="N26" s="16">
        <v>10149.362000000001</v>
      </c>
      <c r="O26" s="10"/>
    </row>
    <row r="27" spans="1:15" s="5" customFormat="1" ht="11.25" customHeight="1" x14ac:dyDescent="0.2">
      <c r="A27" s="38" t="s">
        <v>17</v>
      </c>
      <c r="B27" s="15" t="s">
        <v>28</v>
      </c>
      <c r="C27" s="15" t="s">
        <v>28</v>
      </c>
      <c r="D27" s="15" t="s">
        <v>28</v>
      </c>
      <c r="E27" s="15" t="s">
        <v>28</v>
      </c>
      <c r="F27" s="15" t="s">
        <v>28</v>
      </c>
      <c r="G27" s="15" t="s">
        <v>28</v>
      </c>
      <c r="H27" s="14">
        <v>1410.3320000000001</v>
      </c>
      <c r="I27" s="14">
        <v>2246.799</v>
      </c>
      <c r="J27" s="15">
        <v>21</v>
      </c>
      <c r="K27" s="15">
        <v>67.421000000000006</v>
      </c>
      <c r="L27" s="15">
        <v>21.02</v>
      </c>
      <c r="M27" s="14">
        <v>325.435</v>
      </c>
      <c r="N27" s="16">
        <v>2659.6750000000002</v>
      </c>
      <c r="O27" s="10"/>
    </row>
    <row r="28" spans="1:15" s="5" customFormat="1" ht="11.25" customHeight="1" x14ac:dyDescent="0.2">
      <c r="A28" s="38" t="s">
        <v>18</v>
      </c>
      <c r="B28" s="15">
        <v>242</v>
      </c>
      <c r="C28" s="15">
        <v>241.881</v>
      </c>
      <c r="D28" s="14">
        <v>1640</v>
      </c>
      <c r="E28" s="14">
        <v>1517.8520000000001</v>
      </c>
      <c r="F28" s="15" t="s">
        <v>28</v>
      </c>
      <c r="G28" s="15" t="s">
        <v>28</v>
      </c>
      <c r="H28" s="15" t="s">
        <v>28</v>
      </c>
      <c r="I28" s="15" t="s">
        <v>28</v>
      </c>
      <c r="J28" s="14">
        <v>28</v>
      </c>
      <c r="K28" s="14">
        <v>23.561</v>
      </c>
      <c r="L28" s="15" t="s">
        <v>28</v>
      </c>
      <c r="M28" s="14">
        <v>635.08500000000004</v>
      </c>
      <c r="N28" s="16">
        <v>2419.3789999999999</v>
      </c>
      <c r="O28" s="10"/>
    </row>
    <row r="29" spans="1:15" s="5" customFormat="1" ht="11.25" customHeight="1" x14ac:dyDescent="0.2">
      <c r="A29" s="38" t="s">
        <v>19</v>
      </c>
      <c r="B29" s="15" t="s">
        <v>28</v>
      </c>
      <c r="C29" s="15" t="s">
        <v>28</v>
      </c>
      <c r="D29" s="15" t="s">
        <v>28</v>
      </c>
      <c r="E29" s="15" t="s">
        <v>28</v>
      </c>
      <c r="F29" s="15" t="s">
        <v>28</v>
      </c>
      <c r="G29" s="15" t="s">
        <v>28</v>
      </c>
      <c r="H29" s="15">
        <v>0.95</v>
      </c>
      <c r="I29" s="15">
        <v>15.622999999999999</v>
      </c>
      <c r="J29" s="15" t="s">
        <v>28</v>
      </c>
      <c r="K29" s="15" t="s">
        <v>28</v>
      </c>
      <c r="L29" s="15">
        <v>344.524</v>
      </c>
      <c r="M29" s="14">
        <v>965.70299999999997</v>
      </c>
      <c r="N29" s="16">
        <v>1326.85</v>
      </c>
      <c r="O29" s="10"/>
    </row>
    <row r="30" spans="1:15" s="5" customFormat="1" ht="11.25" customHeight="1" x14ac:dyDescent="0.2">
      <c r="A30" s="38" t="s">
        <v>20</v>
      </c>
      <c r="B30" s="15" t="s">
        <v>28</v>
      </c>
      <c r="C30" s="15" t="s">
        <v>28</v>
      </c>
      <c r="D30" s="15" t="s">
        <v>28</v>
      </c>
      <c r="E30" s="15" t="s">
        <v>28</v>
      </c>
      <c r="F30" s="15" t="s">
        <v>28</v>
      </c>
      <c r="G30" s="15" t="s">
        <v>28</v>
      </c>
      <c r="H30" s="15" t="s">
        <v>28</v>
      </c>
      <c r="I30" s="15" t="s">
        <v>28</v>
      </c>
      <c r="J30" s="15" t="s">
        <v>28</v>
      </c>
      <c r="K30" s="15">
        <v>59.134999999999998</v>
      </c>
      <c r="L30" s="15">
        <v>12.973000000000001</v>
      </c>
      <c r="M30" s="14">
        <v>14229.602000000001</v>
      </c>
      <c r="N30" s="16">
        <v>14301.71</v>
      </c>
      <c r="O30" s="10"/>
    </row>
    <row r="31" spans="1:15" s="5" customFormat="1" ht="11.25" customHeight="1" x14ac:dyDescent="0.2">
      <c r="A31" s="38" t="s">
        <v>21</v>
      </c>
      <c r="B31" s="15" t="s">
        <v>28</v>
      </c>
      <c r="C31" s="15" t="s">
        <v>28</v>
      </c>
      <c r="D31" s="14">
        <v>31</v>
      </c>
      <c r="E31" s="14">
        <v>46.603000000000002</v>
      </c>
      <c r="F31" s="15" t="s">
        <v>28</v>
      </c>
      <c r="G31" s="15" t="s">
        <v>28</v>
      </c>
      <c r="H31" s="14">
        <v>1764.204</v>
      </c>
      <c r="I31" s="14">
        <v>9945.0380000000005</v>
      </c>
      <c r="J31" s="14">
        <v>776</v>
      </c>
      <c r="K31" s="14">
        <v>750.63900000000001</v>
      </c>
      <c r="L31" s="14">
        <v>186.732</v>
      </c>
      <c r="M31" s="14">
        <v>1085.8989999999999</v>
      </c>
      <c r="N31" s="16">
        <v>12015.911</v>
      </c>
      <c r="O31" s="10"/>
    </row>
    <row r="32" spans="1:15" s="5" customFormat="1" ht="11.25" customHeight="1" x14ac:dyDescent="0.2">
      <c r="A32" s="38" t="s">
        <v>22</v>
      </c>
      <c r="B32" s="15" t="s">
        <v>28</v>
      </c>
      <c r="C32" s="15" t="s">
        <v>28</v>
      </c>
      <c r="D32" s="15">
        <v>64</v>
      </c>
      <c r="E32" s="15">
        <v>52.442</v>
      </c>
      <c r="F32" s="15" t="s">
        <v>28</v>
      </c>
      <c r="G32" s="15" t="s">
        <v>28</v>
      </c>
      <c r="H32" s="15">
        <v>4784.6459999999997</v>
      </c>
      <c r="I32" s="15">
        <v>6944.2539999999999</v>
      </c>
      <c r="J32" s="15">
        <v>93</v>
      </c>
      <c r="K32" s="15">
        <v>276.17899999999997</v>
      </c>
      <c r="L32" s="15">
        <v>137.78700000000001</v>
      </c>
      <c r="M32" s="15">
        <v>2266.6</v>
      </c>
      <c r="N32" s="16">
        <v>9677.2619999999988</v>
      </c>
      <c r="O32" s="10"/>
    </row>
    <row r="33" spans="1:15" s="5" customFormat="1" ht="11.25" customHeight="1" x14ac:dyDescent="0.2">
      <c r="A33" s="38" t="s">
        <v>23</v>
      </c>
      <c r="B33" s="15" t="s">
        <v>28</v>
      </c>
      <c r="C33" s="15" t="s">
        <v>28</v>
      </c>
      <c r="D33" s="15" t="s">
        <v>28</v>
      </c>
      <c r="E33" s="15" t="s">
        <v>28</v>
      </c>
      <c r="F33" s="15" t="s">
        <v>28</v>
      </c>
      <c r="G33" s="15" t="s">
        <v>28</v>
      </c>
      <c r="H33" s="15">
        <v>516.63599999999997</v>
      </c>
      <c r="I33" s="15">
        <v>1945.5250000000001</v>
      </c>
      <c r="J33" s="15" t="s">
        <v>28</v>
      </c>
      <c r="K33" s="15">
        <v>12.362</v>
      </c>
      <c r="L33" s="15">
        <v>303.34399999999999</v>
      </c>
      <c r="M33" s="15">
        <v>546.44299999999998</v>
      </c>
      <c r="N33" s="16">
        <v>2806.674</v>
      </c>
      <c r="O33" s="10"/>
    </row>
    <row r="34" spans="1:15" s="5" customFormat="1" ht="11.25" customHeight="1" x14ac:dyDescent="0.2">
      <c r="A34" s="38" t="s">
        <v>24</v>
      </c>
      <c r="B34" s="15" t="s">
        <v>28</v>
      </c>
      <c r="C34" s="15" t="s">
        <v>28</v>
      </c>
      <c r="D34" s="15" t="s">
        <v>28</v>
      </c>
      <c r="E34" s="15" t="s">
        <v>28</v>
      </c>
      <c r="F34" s="15" t="s">
        <v>28</v>
      </c>
      <c r="G34" s="15" t="s">
        <v>28</v>
      </c>
      <c r="H34" s="14">
        <v>13160.99</v>
      </c>
      <c r="I34" s="14">
        <v>20769.667000000001</v>
      </c>
      <c r="J34" s="15" t="s">
        <v>28</v>
      </c>
      <c r="K34" s="15">
        <v>1617.1030000000001</v>
      </c>
      <c r="L34" s="15">
        <v>48.685000000000002</v>
      </c>
      <c r="M34" s="14">
        <v>1193.06</v>
      </c>
      <c r="N34" s="16">
        <v>23628.514999999999</v>
      </c>
      <c r="O34" s="10"/>
    </row>
    <row r="35" spans="1:15" s="5" customFormat="1" ht="11.25" customHeight="1" x14ac:dyDescent="0.2">
      <c r="A35" s="38" t="s">
        <v>25</v>
      </c>
      <c r="B35" s="15" t="s">
        <v>28</v>
      </c>
      <c r="C35" s="15" t="s">
        <v>28</v>
      </c>
      <c r="D35" s="15" t="s">
        <v>28</v>
      </c>
      <c r="E35" s="15" t="s">
        <v>28</v>
      </c>
      <c r="F35" s="15" t="s">
        <v>28</v>
      </c>
      <c r="G35" s="15" t="s">
        <v>28</v>
      </c>
      <c r="H35" s="14">
        <v>215.68799999999999</v>
      </c>
      <c r="I35" s="14">
        <v>1097.423</v>
      </c>
      <c r="J35" s="15" t="s">
        <v>28</v>
      </c>
      <c r="K35" s="15" t="s">
        <v>28</v>
      </c>
      <c r="L35" s="15">
        <v>25.940999999999999</v>
      </c>
      <c r="M35" s="14">
        <v>361.036</v>
      </c>
      <c r="N35" s="16">
        <v>1484.4</v>
      </c>
      <c r="O35" s="10"/>
    </row>
    <row r="36" spans="1:15" s="5" customFormat="1" ht="11.25" customHeight="1" x14ac:dyDescent="0.2">
      <c r="A36" s="41" t="s">
        <v>31</v>
      </c>
      <c r="B36" s="15" t="s">
        <v>28</v>
      </c>
      <c r="C36" s="15" t="s">
        <v>28</v>
      </c>
      <c r="D36" s="15" t="s">
        <v>28</v>
      </c>
      <c r="E36" s="15" t="s">
        <v>28</v>
      </c>
      <c r="F36" s="15" t="s">
        <v>28</v>
      </c>
      <c r="G36" s="15">
        <v>1.4810000000000001</v>
      </c>
      <c r="H36" s="14">
        <v>178.81899999999999</v>
      </c>
      <c r="I36" s="14">
        <v>826.11699999999996</v>
      </c>
      <c r="J36" s="14">
        <v>17</v>
      </c>
      <c r="K36" s="14">
        <v>34.823</v>
      </c>
      <c r="L36" s="14">
        <v>932.17100000000005</v>
      </c>
      <c r="M36" s="14">
        <v>4122.3230000000003</v>
      </c>
      <c r="N36" s="16">
        <v>5915.9150000000009</v>
      </c>
      <c r="O36" s="10"/>
    </row>
    <row r="37" spans="1:15" s="5" customFormat="1" ht="11.25" customHeight="1" x14ac:dyDescent="0.2">
      <c r="A37" s="38" t="s">
        <v>26</v>
      </c>
      <c r="B37" s="15" t="s">
        <v>28</v>
      </c>
      <c r="C37" s="15" t="s">
        <v>28</v>
      </c>
      <c r="D37" s="15" t="s">
        <v>28</v>
      </c>
      <c r="E37" s="15" t="s">
        <v>28</v>
      </c>
      <c r="F37" s="15" t="s">
        <v>28</v>
      </c>
      <c r="G37" s="15" t="s">
        <v>28</v>
      </c>
      <c r="H37" s="15">
        <v>2175.5329999999999</v>
      </c>
      <c r="I37" s="15">
        <v>3174.0419999999999</v>
      </c>
      <c r="J37" s="14">
        <v>8</v>
      </c>
      <c r="K37" s="14">
        <v>37.840000000000003</v>
      </c>
      <c r="L37" s="14">
        <v>1185.1089999999999</v>
      </c>
      <c r="M37" s="14">
        <v>2978.509</v>
      </c>
      <c r="N37" s="16">
        <v>7375.5</v>
      </c>
      <c r="O37" s="10"/>
    </row>
    <row r="38" spans="1:15" s="5" customFormat="1" ht="11.25" customHeight="1" x14ac:dyDescent="0.2">
      <c r="A38" s="38" t="s">
        <v>45</v>
      </c>
      <c r="B38" s="15" t="s">
        <v>28</v>
      </c>
      <c r="C38" s="15" t="s">
        <v>28</v>
      </c>
      <c r="D38" s="14">
        <v>1270</v>
      </c>
      <c r="E38" s="14">
        <v>2251.6509999999998</v>
      </c>
      <c r="F38" s="14">
        <v>11330</v>
      </c>
      <c r="G38" s="14">
        <v>10572.499</v>
      </c>
      <c r="H38" s="14">
        <v>33594.356</v>
      </c>
      <c r="I38" s="14">
        <v>63736.644</v>
      </c>
      <c r="J38" s="14">
        <v>483</v>
      </c>
      <c r="K38" s="14">
        <v>904.86500000000001</v>
      </c>
      <c r="L38" s="14">
        <v>1748.4870000000001</v>
      </c>
      <c r="M38" s="14">
        <v>24832.78</v>
      </c>
      <c r="N38" s="16">
        <v>104046.92599999999</v>
      </c>
      <c r="O38" s="10"/>
    </row>
    <row r="39" spans="1:15" s="5" customFormat="1" ht="11.25" customHeight="1" x14ac:dyDescent="0.2">
      <c r="A39" s="38" t="s">
        <v>46</v>
      </c>
      <c r="B39" s="15" t="s">
        <v>28</v>
      </c>
      <c r="C39" s="15" t="s">
        <v>28</v>
      </c>
      <c r="D39" s="15" t="s">
        <v>28</v>
      </c>
      <c r="E39" s="15" t="s">
        <v>28</v>
      </c>
      <c r="F39" s="15" t="s">
        <v>28</v>
      </c>
      <c r="G39" s="15" t="s">
        <v>28</v>
      </c>
      <c r="H39" s="15" t="s">
        <v>28</v>
      </c>
      <c r="I39" s="15" t="s">
        <v>28</v>
      </c>
      <c r="J39" s="14">
        <v>1</v>
      </c>
      <c r="K39" s="14">
        <v>5.5940000000000003</v>
      </c>
      <c r="L39" s="14">
        <v>3805.58</v>
      </c>
      <c r="M39" s="14">
        <v>260.36799999999999</v>
      </c>
      <c r="N39" s="16">
        <v>4071.5419999999999</v>
      </c>
      <c r="O39" s="10"/>
    </row>
    <row r="40" spans="1:15" s="5" customFormat="1" ht="11.25" customHeight="1" x14ac:dyDescent="0.2">
      <c r="A40" s="4" t="s">
        <v>75</v>
      </c>
      <c r="B40" s="14">
        <v>537</v>
      </c>
      <c r="C40" s="14">
        <v>293.00399999999991</v>
      </c>
      <c r="D40" s="14">
        <v>1277</v>
      </c>
      <c r="E40" s="14">
        <v>1958.2350000000079</v>
      </c>
      <c r="F40" s="15" t="s">
        <v>28</v>
      </c>
      <c r="G40" s="15" t="s">
        <v>28</v>
      </c>
      <c r="H40" s="14">
        <v>4.3659999999217689</v>
      </c>
      <c r="I40" s="14">
        <v>64.986999999789987</v>
      </c>
      <c r="J40" s="14">
        <v>108</v>
      </c>
      <c r="K40" s="14">
        <v>284.67500000000655</v>
      </c>
      <c r="L40" s="14">
        <v>634.38300000001618</v>
      </c>
      <c r="M40" s="14">
        <v>1250.4160000000265</v>
      </c>
      <c r="N40" s="16">
        <v>4484.699999999847</v>
      </c>
      <c r="O40" s="10"/>
    </row>
    <row r="41" spans="1:15" s="8" customFormat="1" ht="11.25" customHeight="1" x14ac:dyDescent="0.2">
      <c r="A41" s="84" t="s">
        <v>27</v>
      </c>
      <c r="B41" s="22">
        <v>4413</v>
      </c>
      <c r="C41" s="22">
        <v>2414.9569999999999</v>
      </c>
      <c r="D41" s="22">
        <v>28756</v>
      </c>
      <c r="E41" s="22">
        <v>36613.249000000003</v>
      </c>
      <c r="F41" s="22">
        <v>21662</v>
      </c>
      <c r="G41" s="22">
        <v>18709.596000000001</v>
      </c>
      <c r="H41" s="22">
        <v>303077.74699999997</v>
      </c>
      <c r="I41" s="22">
        <v>488314.48599999998</v>
      </c>
      <c r="J41" s="22">
        <v>19062</v>
      </c>
      <c r="K41" s="22">
        <v>23525.602999999999</v>
      </c>
      <c r="L41" s="22">
        <v>81943.758000000002</v>
      </c>
      <c r="M41" s="22">
        <v>322990.07500000001</v>
      </c>
      <c r="N41" s="22">
        <v>974511.72400000005</v>
      </c>
      <c r="O41" s="26"/>
    </row>
    <row r="42" spans="1:15" s="5" customFormat="1" ht="11.25" customHeight="1" x14ac:dyDescent="0.2">
      <c r="A42" s="4"/>
      <c r="B42" s="14"/>
      <c r="C42" s="33"/>
      <c r="D42" s="14"/>
      <c r="E42" s="33"/>
      <c r="F42" s="14"/>
      <c r="G42" s="33"/>
      <c r="H42" s="14"/>
      <c r="I42" s="33"/>
      <c r="J42" s="14"/>
      <c r="K42" s="33"/>
      <c r="L42" s="33"/>
      <c r="M42" s="34"/>
      <c r="O42" s="10"/>
    </row>
    <row r="43" spans="1:15" s="5" customFormat="1" ht="12.75" customHeight="1" x14ac:dyDescent="0.2">
      <c r="A43" s="79" t="s">
        <v>48</v>
      </c>
    </row>
    <row r="44" spans="1:15" s="5" customFormat="1" ht="12.75" customHeight="1" x14ac:dyDescent="0.2">
      <c r="A44" s="80" t="s">
        <v>49</v>
      </c>
    </row>
    <row r="45" spans="1:15" s="5" customFormat="1" ht="12.75" customHeight="1" x14ac:dyDescent="0.2">
      <c r="A45" s="80"/>
    </row>
    <row r="46" spans="1:15" s="5" customFormat="1" ht="12.75" customHeight="1" x14ac:dyDescent="0.2">
      <c r="A46" s="3" t="s">
        <v>37</v>
      </c>
    </row>
    <row r="47" spans="1:15" s="5" customFormat="1" ht="12.75" customHeight="1" x14ac:dyDescent="0.2">
      <c r="A47" s="4" t="s">
        <v>54</v>
      </c>
    </row>
    <row r="48" spans="1:15" s="5" customFormat="1" ht="12.75" customHeight="1" x14ac:dyDescent="0.2">
      <c r="A48" s="4" t="s">
        <v>55</v>
      </c>
    </row>
    <row r="49" spans="1:1" s="5" customFormat="1" ht="12.75" customHeight="1" x14ac:dyDescent="0.2">
      <c r="A49" s="4" t="s">
        <v>56</v>
      </c>
    </row>
    <row r="50" spans="1:1" s="5" customFormat="1" ht="12.75" customHeight="1" x14ac:dyDescent="0.2">
      <c r="A50" s="4" t="s">
        <v>67</v>
      </c>
    </row>
    <row r="51" spans="1:1" s="5" customFormat="1" ht="12.75" customHeight="1" x14ac:dyDescent="0.2">
      <c r="A51" s="4" t="s">
        <v>68</v>
      </c>
    </row>
    <row r="52" spans="1:1" s="5" customFormat="1" ht="12.75" customHeight="1" x14ac:dyDescent="0.2">
      <c r="A52" s="4" t="s">
        <v>72</v>
      </c>
    </row>
    <row r="53" spans="1:1" s="5" customFormat="1" ht="12.75" customHeight="1" x14ac:dyDescent="0.2">
      <c r="A53" s="4" t="s">
        <v>73</v>
      </c>
    </row>
    <row r="54" spans="1:1" s="5" customFormat="1" ht="12.75" customHeight="1" x14ac:dyDescent="0.2">
      <c r="A54" s="4" t="s">
        <v>74</v>
      </c>
    </row>
    <row r="55" spans="1:1" ht="12.75" customHeight="1" x14ac:dyDescent="0.2"/>
    <row r="56" spans="1:1" ht="12.75" customHeight="1" x14ac:dyDescent="0.2">
      <c r="A56" s="3" t="s">
        <v>50</v>
      </c>
    </row>
    <row r="57" spans="1:1" ht="12.75" customHeight="1" x14ac:dyDescent="0.2">
      <c r="A57" s="81" t="s">
        <v>51</v>
      </c>
    </row>
    <row r="58" spans="1:1" ht="11.25" customHeight="1" x14ac:dyDescent="0.2"/>
    <row r="59" spans="1:1" ht="11.25" customHeight="1" x14ac:dyDescent="0.2"/>
    <row r="60" spans="1:1" ht="11.25" customHeight="1" x14ac:dyDescent="0.2"/>
    <row r="61" spans="1:1" ht="11.25" customHeight="1" x14ac:dyDescent="0.2"/>
    <row r="62" spans="1:1" ht="11.25" customHeight="1" x14ac:dyDescent="0.2"/>
    <row r="63" spans="1:1" ht="11.25" customHeight="1" x14ac:dyDescent="0.2"/>
    <row r="64" spans="1:1" ht="11.25" customHeight="1" x14ac:dyDescent="0.2"/>
    <row r="65" ht="11.25" customHeight="1" x14ac:dyDescent="0.2"/>
    <row r="66" ht="11.25" customHeight="1" x14ac:dyDescent="0.2"/>
  </sheetData>
  <mergeCells count="6">
    <mergeCell ref="H3:I3"/>
    <mergeCell ref="J3:K3"/>
    <mergeCell ref="A3:A5"/>
    <mergeCell ref="B3:C3"/>
    <mergeCell ref="D3:E3"/>
    <mergeCell ref="F3:G3"/>
  </mergeCells>
  <phoneticPr fontId="2" type="noConversion"/>
  <pageMargins left="0.75" right="0.75" top="1" bottom="1" header="0.5" footer="0.5"/>
  <pageSetup paperSize="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59"/>
  <sheetViews>
    <sheetView workbookViewId="0"/>
  </sheetViews>
  <sheetFormatPr defaultRowHeight="12.75" x14ac:dyDescent="0.2"/>
  <cols>
    <col min="1" max="1" width="20" style="82" customWidth="1"/>
    <col min="2" max="11" width="8.7109375" style="1" customWidth="1"/>
    <col min="12" max="13" width="11.7109375" style="1" customWidth="1"/>
    <col min="14" max="14" width="9.7109375" style="1" customWidth="1"/>
    <col min="15" max="16384" width="9.140625" style="1"/>
  </cols>
  <sheetData>
    <row r="1" spans="1:14" s="2" customFormat="1" ht="17.25" customHeight="1" x14ac:dyDescent="0.25">
      <c r="A1" s="76" t="s">
        <v>83</v>
      </c>
    </row>
    <row r="2" spans="1:14" s="2" customFormat="1" ht="11.25" customHeight="1" x14ac:dyDescent="0.25">
      <c r="A2" s="76"/>
    </row>
    <row r="3" spans="1:14" s="77" customFormat="1" ht="25.5" customHeight="1" x14ac:dyDescent="0.2">
      <c r="A3" s="175" t="s">
        <v>38</v>
      </c>
      <c r="B3" s="170" t="s">
        <v>36</v>
      </c>
      <c r="C3" s="170"/>
      <c r="D3" s="173" t="s">
        <v>65</v>
      </c>
      <c r="E3" s="173"/>
      <c r="F3" s="170" t="s">
        <v>35</v>
      </c>
      <c r="G3" s="170"/>
      <c r="H3" s="173" t="s">
        <v>66</v>
      </c>
      <c r="I3" s="173"/>
      <c r="J3" s="170" t="s">
        <v>70</v>
      </c>
      <c r="K3" s="170"/>
      <c r="L3" s="90" t="s">
        <v>71</v>
      </c>
      <c r="M3" s="90" t="s">
        <v>34</v>
      </c>
    </row>
    <row r="4" spans="1:14" s="77" customFormat="1" ht="10.5" x14ac:dyDescent="0.2">
      <c r="A4" s="175"/>
      <c r="B4" s="89" t="s">
        <v>59</v>
      </c>
      <c r="C4" s="89" t="s">
        <v>57</v>
      </c>
      <c r="D4" s="90" t="s">
        <v>69</v>
      </c>
      <c r="E4" s="90" t="s">
        <v>57</v>
      </c>
      <c r="F4" s="89" t="s">
        <v>58</v>
      </c>
      <c r="G4" s="89" t="s">
        <v>57</v>
      </c>
      <c r="H4" s="90" t="s">
        <v>58</v>
      </c>
      <c r="I4" s="90" t="s">
        <v>57</v>
      </c>
      <c r="J4" s="89" t="s">
        <v>58</v>
      </c>
      <c r="K4" s="89" t="s">
        <v>57</v>
      </c>
      <c r="L4" s="90" t="s">
        <v>57</v>
      </c>
      <c r="M4" s="90" t="s">
        <v>57</v>
      </c>
    </row>
    <row r="5" spans="1:14" s="31" customFormat="1" ht="12.75" customHeight="1" x14ac:dyDescent="0.2">
      <c r="A5" s="176"/>
      <c r="B5" s="88" t="s">
        <v>60</v>
      </c>
      <c r="C5" s="88" t="s">
        <v>61</v>
      </c>
      <c r="D5" s="88" t="s">
        <v>62</v>
      </c>
      <c r="E5" s="88" t="s">
        <v>61</v>
      </c>
      <c r="F5" s="88" t="s">
        <v>63</v>
      </c>
      <c r="G5" s="88" t="s">
        <v>61</v>
      </c>
      <c r="H5" s="88" t="s">
        <v>63</v>
      </c>
      <c r="I5" s="88" t="s">
        <v>61</v>
      </c>
      <c r="J5" s="88" t="s">
        <v>64</v>
      </c>
      <c r="K5" s="88" t="s">
        <v>61</v>
      </c>
      <c r="L5" s="88" t="s">
        <v>61</v>
      </c>
      <c r="M5" s="88" t="s">
        <v>61</v>
      </c>
    </row>
    <row r="6" spans="1:14" s="5" customFormat="1" ht="11.25" customHeight="1" x14ac:dyDescent="0.2">
      <c r="A6" s="38" t="s">
        <v>0</v>
      </c>
      <c r="B6" s="14">
        <v>1663</v>
      </c>
      <c r="C6" s="14">
        <v>921.78300000000002</v>
      </c>
      <c r="D6" s="14">
        <v>4476</v>
      </c>
      <c r="E6" s="14">
        <v>3819.5189999999998</v>
      </c>
      <c r="F6" s="15">
        <v>100</v>
      </c>
      <c r="G6" s="15">
        <v>106.093</v>
      </c>
      <c r="H6" s="14">
        <v>88228.846999999994</v>
      </c>
      <c r="I6" s="14">
        <v>117520.351</v>
      </c>
      <c r="J6" s="14">
        <v>13882</v>
      </c>
      <c r="K6" s="14">
        <v>11064.194</v>
      </c>
      <c r="L6" s="14">
        <v>174182.49600000001</v>
      </c>
      <c r="M6" s="16">
        <v>307614.43599999993</v>
      </c>
      <c r="N6" s="4"/>
    </row>
    <row r="7" spans="1:14" s="5" customFormat="1" ht="11.25" customHeight="1" x14ac:dyDescent="0.2">
      <c r="A7" s="38" t="s">
        <v>1</v>
      </c>
      <c r="B7" s="15" t="s">
        <v>28</v>
      </c>
      <c r="C7" s="15" t="s">
        <v>28</v>
      </c>
      <c r="D7" s="15" t="s">
        <v>28</v>
      </c>
      <c r="E7" s="15" t="s">
        <v>28</v>
      </c>
      <c r="F7" s="15" t="s">
        <v>28</v>
      </c>
      <c r="G7" s="15" t="s">
        <v>28</v>
      </c>
      <c r="H7" s="14">
        <v>735.78300000000002</v>
      </c>
      <c r="I7" s="14">
        <v>1385.028</v>
      </c>
      <c r="J7" s="15" t="s">
        <v>28</v>
      </c>
      <c r="K7" s="15" t="s">
        <v>28</v>
      </c>
      <c r="L7" s="14">
        <v>444.09800000000001</v>
      </c>
      <c r="M7" s="16">
        <v>1829.126</v>
      </c>
      <c r="N7" s="4"/>
    </row>
    <row r="8" spans="1:14" s="5" customFormat="1" ht="11.25" customHeight="1" x14ac:dyDescent="0.2">
      <c r="A8" s="38" t="s">
        <v>2</v>
      </c>
      <c r="B8" s="15" t="s">
        <v>28</v>
      </c>
      <c r="C8" s="15"/>
      <c r="D8" s="15" t="s">
        <v>28</v>
      </c>
      <c r="E8" s="15" t="s">
        <v>28</v>
      </c>
      <c r="F8" s="15" t="s">
        <v>28</v>
      </c>
      <c r="G8" s="15" t="s">
        <v>28</v>
      </c>
      <c r="H8" s="14">
        <v>4032.482</v>
      </c>
      <c r="I8" s="14">
        <v>7215.2280000000001</v>
      </c>
      <c r="J8" s="15" t="s">
        <v>28</v>
      </c>
      <c r="K8" s="15" t="s">
        <v>28</v>
      </c>
      <c r="L8" s="14">
        <v>578.25599999999997</v>
      </c>
      <c r="M8" s="16">
        <v>7793.4840000000004</v>
      </c>
      <c r="N8" s="4"/>
    </row>
    <row r="9" spans="1:14" s="5" customFormat="1" ht="11.25" customHeight="1" x14ac:dyDescent="0.2">
      <c r="A9" s="38" t="s">
        <v>3</v>
      </c>
      <c r="B9" s="15" t="s">
        <v>28</v>
      </c>
      <c r="C9" s="15" t="s">
        <v>28</v>
      </c>
      <c r="D9" s="15">
        <v>34</v>
      </c>
      <c r="E9" s="15">
        <v>42.329000000000001</v>
      </c>
      <c r="F9" s="15" t="s">
        <v>28</v>
      </c>
      <c r="G9" s="15" t="s">
        <v>28</v>
      </c>
      <c r="H9" s="14">
        <v>2746.59</v>
      </c>
      <c r="I9" s="14">
        <v>3762.0970000000002</v>
      </c>
      <c r="J9" s="14">
        <v>19</v>
      </c>
      <c r="K9" s="14">
        <v>23.628</v>
      </c>
      <c r="L9" s="14">
        <v>5112.8059999999996</v>
      </c>
      <c r="M9" s="16">
        <v>8940.86</v>
      </c>
      <c r="N9" s="4"/>
    </row>
    <row r="10" spans="1:14" s="5" customFormat="1" ht="11.25" customHeight="1" x14ac:dyDescent="0.2">
      <c r="A10" s="38" t="s">
        <v>29</v>
      </c>
      <c r="B10" s="15" t="s">
        <v>28</v>
      </c>
      <c r="C10" s="15" t="s">
        <v>28</v>
      </c>
      <c r="D10" s="14">
        <v>458</v>
      </c>
      <c r="E10" s="14">
        <v>431.40699999999998</v>
      </c>
      <c r="F10" s="15" t="s">
        <v>28</v>
      </c>
      <c r="G10" s="15" t="s">
        <v>28</v>
      </c>
      <c r="H10" s="14">
        <v>6304.6130000000003</v>
      </c>
      <c r="I10" s="14">
        <v>26146.348999999998</v>
      </c>
      <c r="J10" s="14">
        <v>45</v>
      </c>
      <c r="K10" s="14">
        <v>74.302999999999997</v>
      </c>
      <c r="L10" s="14">
        <v>7002.2240000000002</v>
      </c>
      <c r="M10" s="16">
        <v>33653.282999999996</v>
      </c>
      <c r="N10" s="4"/>
    </row>
    <row r="11" spans="1:14" s="5" customFormat="1" ht="11.25" customHeight="1" x14ac:dyDescent="0.2">
      <c r="A11" s="38" t="s">
        <v>4</v>
      </c>
      <c r="B11" s="15" t="s">
        <v>28</v>
      </c>
      <c r="C11" s="15" t="s">
        <v>28</v>
      </c>
      <c r="D11" s="14">
        <v>16492</v>
      </c>
      <c r="E11" s="14">
        <v>22041.173999999999</v>
      </c>
      <c r="F11" s="15" t="s">
        <v>28</v>
      </c>
      <c r="G11" s="15" t="s">
        <v>28</v>
      </c>
      <c r="H11" s="14">
        <v>1785.1310000000001</v>
      </c>
      <c r="I11" s="14">
        <v>2975.355</v>
      </c>
      <c r="J11" s="14">
        <v>765</v>
      </c>
      <c r="K11" s="14">
        <v>1458.8910000000001</v>
      </c>
      <c r="L11" s="14">
        <v>5222.5150000000003</v>
      </c>
      <c r="M11" s="16">
        <v>31697.934999999998</v>
      </c>
      <c r="N11" s="4"/>
    </row>
    <row r="12" spans="1:14" s="5" customFormat="1" ht="11.25" customHeight="1" x14ac:dyDescent="0.2">
      <c r="A12" s="38" t="s">
        <v>6</v>
      </c>
      <c r="B12" s="15">
        <v>168</v>
      </c>
      <c r="C12" s="15">
        <v>153.398</v>
      </c>
      <c r="D12" s="14">
        <v>4036</v>
      </c>
      <c r="E12" s="14">
        <v>3673.163</v>
      </c>
      <c r="F12" s="15" t="s">
        <v>28</v>
      </c>
      <c r="G12" s="15" t="s">
        <v>28</v>
      </c>
      <c r="H12" s="19" t="s">
        <v>28</v>
      </c>
      <c r="I12" s="15" t="s">
        <v>28</v>
      </c>
      <c r="J12" s="14">
        <v>1301</v>
      </c>
      <c r="K12" s="14">
        <v>1627.261</v>
      </c>
      <c r="L12" s="14">
        <v>768.58100000000002</v>
      </c>
      <c r="M12" s="16">
        <v>6222.4030000000002</v>
      </c>
      <c r="N12" s="4"/>
    </row>
    <row r="13" spans="1:14" s="5" customFormat="1" ht="11.25" customHeight="1" x14ac:dyDescent="0.2">
      <c r="A13" s="38" t="s">
        <v>7</v>
      </c>
      <c r="B13" s="15" t="s">
        <v>28</v>
      </c>
      <c r="C13" s="15" t="s">
        <v>28</v>
      </c>
      <c r="D13" s="15">
        <v>36</v>
      </c>
      <c r="E13" s="15">
        <v>45.604999999999997</v>
      </c>
      <c r="F13" s="15" t="s">
        <v>28</v>
      </c>
      <c r="G13" s="15" t="s">
        <v>28</v>
      </c>
      <c r="H13" s="14">
        <v>25600.275000000001</v>
      </c>
      <c r="I13" s="14">
        <v>41874.142999999996</v>
      </c>
      <c r="J13" s="15">
        <v>3</v>
      </c>
      <c r="K13" s="19">
        <v>10.144</v>
      </c>
      <c r="L13" s="14">
        <v>556.06700000000001</v>
      </c>
      <c r="M13" s="16">
        <v>42485.959000000003</v>
      </c>
      <c r="N13" s="4"/>
    </row>
    <row r="14" spans="1:14" s="5" customFormat="1" ht="11.25" customHeight="1" x14ac:dyDescent="0.2">
      <c r="A14" s="38" t="s">
        <v>8</v>
      </c>
      <c r="B14" s="15" t="s">
        <v>28</v>
      </c>
      <c r="C14" s="15" t="s">
        <v>28</v>
      </c>
      <c r="D14" s="15" t="s">
        <v>28</v>
      </c>
      <c r="E14" s="15" t="s">
        <v>28</v>
      </c>
      <c r="F14" s="15" t="s">
        <v>28</v>
      </c>
      <c r="G14" s="19" t="s">
        <v>28</v>
      </c>
      <c r="H14" s="14">
        <v>2388.393</v>
      </c>
      <c r="I14" s="14">
        <v>5927.1689999999999</v>
      </c>
      <c r="J14" s="15">
        <v>23</v>
      </c>
      <c r="K14" s="19">
        <v>43.621000000000002</v>
      </c>
      <c r="L14" s="14">
        <v>16399.362000000001</v>
      </c>
      <c r="M14" s="16">
        <v>22370.152000000002</v>
      </c>
      <c r="N14" s="4"/>
    </row>
    <row r="15" spans="1:14" s="5" customFormat="1" ht="11.25" customHeight="1" x14ac:dyDescent="0.2">
      <c r="A15" s="41" t="s">
        <v>9</v>
      </c>
      <c r="B15" s="15">
        <v>1</v>
      </c>
      <c r="C15" s="15">
        <v>6.9859999999999998</v>
      </c>
      <c r="D15" s="15">
        <v>211</v>
      </c>
      <c r="E15" s="15">
        <v>565.00699999999995</v>
      </c>
      <c r="F15" s="15">
        <v>19</v>
      </c>
      <c r="G15" s="15">
        <v>45.081000000000003</v>
      </c>
      <c r="H15" s="14">
        <v>21521.624</v>
      </c>
      <c r="I15" s="14">
        <v>43112.892999999996</v>
      </c>
      <c r="J15" s="14">
        <v>414</v>
      </c>
      <c r="K15" s="14">
        <v>656.55700000000002</v>
      </c>
      <c r="L15" s="14">
        <v>9199.277</v>
      </c>
      <c r="M15" s="16">
        <v>53585.800999999992</v>
      </c>
      <c r="N15" s="4"/>
    </row>
    <row r="16" spans="1:14" s="5" customFormat="1" ht="11.25" customHeight="1" x14ac:dyDescent="0.2">
      <c r="A16" s="38" t="s">
        <v>41</v>
      </c>
      <c r="B16" s="15" t="s">
        <v>28</v>
      </c>
      <c r="C16" s="15" t="s">
        <v>28</v>
      </c>
      <c r="D16" s="15" t="s">
        <v>28</v>
      </c>
      <c r="E16" s="15" t="s">
        <v>28</v>
      </c>
      <c r="F16" s="15" t="s">
        <v>28</v>
      </c>
      <c r="G16" s="15" t="s">
        <v>28</v>
      </c>
      <c r="H16" s="14">
        <v>42.314</v>
      </c>
      <c r="I16" s="14">
        <v>196.49600000000001</v>
      </c>
      <c r="J16" s="15" t="s">
        <v>28</v>
      </c>
      <c r="K16" s="15" t="s">
        <v>28</v>
      </c>
      <c r="L16" s="14">
        <v>3260.8580000000002</v>
      </c>
      <c r="M16" s="16">
        <v>3457.3540000000003</v>
      </c>
      <c r="N16" s="4"/>
    </row>
    <row r="17" spans="1:14" s="5" customFormat="1" ht="11.25" customHeight="1" x14ac:dyDescent="0.2">
      <c r="A17" s="38" t="s">
        <v>11</v>
      </c>
      <c r="B17" s="15">
        <v>1</v>
      </c>
      <c r="C17" s="15">
        <v>1.198</v>
      </c>
      <c r="D17" s="14">
        <v>796</v>
      </c>
      <c r="E17" s="14">
        <v>996.827</v>
      </c>
      <c r="F17" s="15">
        <v>1000</v>
      </c>
      <c r="G17" s="15">
        <v>704.72799999999995</v>
      </c>
      <c r="H17" s="14">
        <v>15169.65</v>
      </c>
      <c r="I17" s="14">
        <v>21445.8</v>
      </c>
      <c r="J17" s="14">
        <v>1090</v>
      </c>
      <c r="K17" s="14">
        <v>1285.07</v>
      </c>
      <c r="L17" s="14">
        <v>27206.512999999999</v>
      </c>
      <c r="M17" s="16">
        <v>51641.135999999999</v>
      </c>
      <c r="N17" s="4"/>
    </row>
    <row r="18" spans="1:14" s="5" customFormat="1" ht="11.25" customHeight="1" x14ac:dyDescent="0.2">
      <c r="A18" s="38" t="s">
        <v>12</v>
      </c>
      <c r="B18" s="15" t="s">
        <v>28</v>
      </c>
      <c r="C18" s="15" t="s">
        <v>28</v>
      </c>
      <c r="D18" s="15">
        <v>161</v>
      </c>
      <c r="E18" s="15">
        <v>253.70500000000001</v>
      </c>
      <c r="F18" s="15" t="s">
        <v>28</v>
      </c>
      <c r="G18" s="15" t="s">
        <v>28</v>
      </c>
      <c r="H18" s="14">
        <v>11516.040999999999</v>
      </c>
      <c r="I18" s="14">
        <v>19960.598999999998</v>
      </c>
      <c r="J18" s="15">
        <v>144</v>
      </c>
      <c r="K18" s="15">
        <v>81.557000000000002</v>
      </c>
      <c r="L18" s="14">
        <v>12572.271000000001</v>
      </c>
      <c r="M18" s="16">
        <v>32869.131999999998</v>
      </c>
      <c r="N18" s="4"/>
    </row>
    <row r="19" spans="1:14" s="5" customFormat="1" ht="11.25" customHeight="1" x14ac:dyDescent="0.2">
      <c r="A19" s="38" t="s">
        <v>13</v>
      </c>
      <c r="B19" s="15" t="s">
        <v>28</v>
      </c>
      <c r="C19" s="15" t="s">
        <v>28</v>
      </c>
      <c r="D19" s="15" t="s">
        <v>28</v>
      </c>
      <c r="E19" s="15" t="s">
        <v>28</v>
      </c>
      <c r="F19" s="15">
        <v>22</v>
      </c>
      <c r="G19" s="15">
        <v>65.418999999999997</v>
      </c>
      <c r="H19" s="14">
        <v>7979.3410000000003</v>
      </c>
      <c r="I19" s="14">
        <v>21872.68</v>
      </c>
      <c r="J19" s="15">
        <v>1</v>
      </c>
      <c r="K19" s="15" t="s">
        <v>28</v>
      </c>
      <c r="L19" s="14">
        <v>4180.3779999999997</v>
      </c>
      <c r="M19" s="16">
        <v>26118.477000000003</v>
      </c>
      <c r="N19" s="4"/>
    </row>
    <row r="20" spans="1:14" s="5" customFormat="1" ht="11.25" customHeight="1" x14ac:dyDescent="0.2">
      <c r="A20" s="41" t="s">
        <v>42</v>
      </c>
      <c r="B20" s="15" t="s">
        <v>28</v>
      </c>
      <c r="C20" s="19" t="s">
        <v>28</v>
      </c>
      <c r="D20" s="15" t="s">
        <v>28</v>
      </c>
      <c r="E20" s="15" t="s">
        <v>28</v>
      </c>
      <c r="F20" s="15" t="s">
        <v>28</v>
      </c>
      <c r="G20" s="15" t="s">
        <v>28</v>
      </c>
      <c r="H20" s="14">
        <v>6369.6229999999996</v>
      </c>
      <c r="I20" s="14">
        <v>10514.531000000001</v>
      </c>
      <c r="J20" s="15">
        <v>1</v>
      </c>
      <c r="K20" s="15">
        <v>5.0490000000000004</v>
      </c>
      <c r="L20" s="14">
        <v>2116.2820000000002</v>
      </c>
      <c r="M20" s="16">
        <v>12635.862000000001</v>
      </c>
      <c r="N20" s="4"/>
    </row>
    <row r="21" spans="1:14" s="5" customFormat="1" ht="11.25" customHeight="1" x14ac:dyDescent="0.2">
      <c r="A21" s="38" t="s">
        <v>14</v>
      </c>
      <c r="B21" s="15" t="s">
        <v>28</v>
      </c>
      <c r="C21" s="19" t="s">
        <v>28</v>
      </c>
      <c r="D21" s="14">
        <v>358</v>
      </c>
      <c r="E21" s="14">
        <v>357.50599999999997</v>
      </c>
      <c r="F21" s="15" t="s">
        <v>28</v>
      </c>
      <c r="G21" s="15" t="s">
        <v>28</v>
      </c>
      <c r="H21" s="14">
        <v>301.76799999999997</v>
      </c>
      <c r="I21" s="14">
        <v>983.11</v>
      </c>
      <c r="J21" s="14">
        <v>1206</v>
      </c>
      <c r="K21" s="14">
        <v>1265.7170000000001</v>
      </c>
      <c r="L21" s="14">
        <v>21155.705999999998</v>
      </c>
      <c r="M21" s="16">
        <v>23763.039000000001</v>
      </c>
      <c r="N21" s="4"/>
    </row>
    <row r="22" spans="1:14" s="5" customFormat="1" ht="11.25" customHeight="1" x14ac:dyDescent="0.2">
      <c r="A22" s="38" t="s">
        <v>16</v>
      </c>
      <c r="B22" s="15" t="s">
        <v>28</v>
      </c>
      <c r="C22" s="15" t="s">
        <v>28</v>
      </c>
      <c r="D22" s="15" t="s">
        <v>28</v>
      </c>
      <c r="E22" s="15" t="s">
        <v>28</v>
      </c>
      <c r="F22" s="15" t="s">
        <v>28</v>
      </c>
      <c r="G22" s="15" t="s">
        <v>28</v>
      </c>
      <c r="H22" s="14">
        <v>2131.7249999999999</v>
      </c>
      <c r="I22" s="14">
        <v>3760.4630000000002</v>
      </c>
      <c r="J22" s="14">
        <v>145</v>
      </c>
      <c r="K22" s="14">
        <v>626.30799999999999</v>
      </c>
      <c r="L22" s="14">
        <v>7983.2030000000004</v>
      </c>
      <c r="M22" s="16">
        <v>12368.974</v>
      </c>
      <c r="N22" s="4"/>
    </row>
    <row r="23" spans="1:14" s="5" customFormat="1" ht="11.25" customHeight="1" x14ac:dyDescent="0.2">
      <c r="A23" s="38" t="s">
        <v>17</v>
      </c>
      <c r="B23" s="15" t="s">
        <v>28</v>
      </c>
      <c r="C23" s="15" t="s">
        <v>28</v>
      </c>
      <c r="D23" s="15" t="s">
        <v>28</v>
      </c>
      <c r="E23" s="15" t="s">
        <v>28</v>
      </c>
      <c r="F23" s="15" t="s">
        <v>28</v>
      </c>
      <c r="G23" s="15" t="s">
        <v>28</v>
      </c>
      <c r="H23" s="14">
        <v>1300.1579999999999</v>
      </c>
      <c r="I23" s="14">
        <v>2394.915</v>
      </c>
      <c r="J23" s="15" t="s">
        <v>28</v>
      </c>
      <c r="K23" s="15" t="s">
        <v>28</v>
      </c>
      <c r="L23" s="14">
        <v>261.92899999999997</v>
      </c>
      <c r="M23" s="16">
        <v>2656.8440000000001</v>
      </c>
      <c r="N23" s="4"/>
    </row>
    <row r="24" spans="1:14" s="5" customFormat="1" ht="11.25" customHeight="1" x14ac:dyDescent="0.2">
      <c r="A24" s="38" t="s">
        <v>18</v>
      </c>
      <c r="B24" s="15">
        <v>158</v>
      </c>
      <c r="C24" s="15">
        <v>160.50800000000001</v>
      </c>
      <c r="D24" s="14">
        <v>1465</v>
      </c>
      <c r="E24" s="14">
        <v>1362.3040000000001</v>
      </c>
      <c r="F24" s="15" t="s">
        <v>28</v>
      </c>
      <c r="G24" s="15" t="s">
        <v>28</v>
      </c>
      <c r="H24" s="15" t="s">
        <v>28</v>
      </c>
      <c r="I24" s="15" t="s">
        <v>28</v>
      </c>
      <c r="J24" s="14">
        <v>22</v>
      </c>
      <c r="K24" s="14">
        <v>20.015999999999998</v>
      </c>
      <c r="L24" s="14">
        <v>197.40299999999999</v>
      </c>
      <c r="M24" s="16">
        <v>1740.231</v>
      </c>
      <c r="N24" s="4"/>
    </row>
    <row r="25" spans="1:14" s="5" customFormat="1" ht="11.25" customHeight="1" x14ac:dyDescent="0.2">
      <c r="A25" s="38" t="s">
        <v>19</v>
      </c>
      <c r="B25" s="15" t="s">
        <v>28</v>
      </c>
      <c r="C25" s="15" t="s">
        <v>28</v>
      </c>
      <c r="D25" s="15" t="s">
        <v>28</v>
      </c>
      <c r="E25" s="15" t="s">
        <v>28</v>
      </c>
      <c r="F25" s="15" t="s">
        <v>28</v>
      </c>
      <c r="G25" s="15" t="s">
        <v>28</v>
      </c>
      <c r="H25" s="15" t="s">
        <v>28</v>
      </c>
      <c r="I25" s="15">
        <v>4.2469999999999999</v>
      </c>
      <c r="J25" s="15" t="s">
        <v>28</v>
      </c>
      <c r="K25" s="15" t="s">
        <v>28</v>
      </c>
      <c r="L25" s="14">
        <v>1431.98</v>
      </c>
      <c r="M25" s="16">
        <v>1436.2270000000001</v>
      </c>
      <c r="N25" s="4"/>
    </row>
    <row r="26" spans="1:14" s="5" customFormat="1" ht="11.25" customHeight="1" x14ac:dyDescent="0.2">
      <c r="A26" s="38" t="s">
        <v>20</v>
      </c>
      <c r="B26" s="15" t="s">
        <v>28</v>
      </c>
      <c r="C26" s="15" t="s">
        <v>28</v>
      </c>
      <c r="D26" s="15" t="s">
        <v>28</v>
      </c>
      <c r="E26" s="15" t="s">
        <v>28</v>
      </c>
      <c r="F26" s="15" t="s">
        <v>28</v>
      </c>
      <c r="G26" s="15" t="s">
        <v>28</v>
      </c>
      <c r="H26" s="15" t="s">
        <v>28</v>
      </c>
      <c r="I26" s="15" t="s">
        <v>28</v>
      </c>
      <c r="J26" s="15" t="s">
        <v>28</v>
      </c>
      <c r="K26" s="15">
        <v>17.596</v>
      </c>
      <c r="L26" s="14">
        <v>10537.324000000001</v>
      </c>
      <c r="M26" s="16">
        <v>10554.92</v>
      </c>
      <c r="N26" s="4"/>
    </row>
    <row r="27" spans="1:14" s="5" customFormat="1" ht="11.25" customHeight="1" x14ac:dyDescent="0.2">
      <c r="A27" s="38" t="s">
        <v>21</v>
      </c>
      <c r="B27" s="15" t="s">
        <v>28</v>
      </c>
      <c r="C27" s="15" t="s">
        <v>28</v>
      </c>
      <c r="D27" s="14">
        <v>2</v>
      </c>
      <c r="E27" s="14">
        <v>1.0740000000000001</v>
      </c>
      <c r="F27" s="15" t="s">
        <v>28</v>
      </c>
      <c r="G27" s="15" t="s">
        <v>28</v>
      </c>
      <c r="H27" s="14">
        <v>790.30399999999997</v>
      </c>
      <c r="I27" s="14">
        <v>5184.6080000000002</v>
      </c>
      <c r="J27" s="14">
        <v>582</v>
      </c>
      <c r="K27" s="14">
        <v>786.31100000000004</v>
      </c>
      <c r="L27" s="14">
        <v>1404.64</v>
      </c>
      <c r="M27" s="16">
        <v>7376.6329999999998</v>
      </c>
      <c r="N27" s="4"/>
    </row>
    <row r="28" spans="1:14" s="5" customFormat="1" ht="11.25" customHeight="1" x14ac:dyDescent="0.2">
      <c r="A28" s="38" t="s">
        <v>30</v>
      </c>
      <c r="B28" s="15">
        <v>239</v>
      </c>
      <c r="C28" s="15">
        <v>96.945999999999998</v>
      </c>
      <c r="D28" s="14">
        <v>462</v>
      </c>
      <c r="E28" s="14">
        <v>364.64600000000002</v>
      </c>
      <c r="F28" s="15" t="s">
        <v>28</v>
      </c>
      <c r="G28" s="15" t="s">
        <v>28</v>
      </c>
      <c r="H28" s="15" t="s">
        <v>28</v>
      </c>
      <c r="I28" s="15" t="s">
        <v>28</v>
      </c>
      <c r="J28" s="15" t="s">
        <v>28</v>
      </c>
      <c r="K28" s="15" t="s">
        <v>28</v>
      </c>
      <c r="L28" s="15">
        <v>28.204999999999998</v>
      </c>
      <c r="M28" s="16">
        <v>489.79700000000003</v>
      </c>
      <c r="N28" s="4"/>
    </row>
    <row r="29" spans="1:14" s="5" customFormat="1" ht="11.25" customHeight="1" x14ac:dyDescent="0.2">
      <c r="A29" s="38" t="s">
        <v>22</v>
      </c>
      <c r="B29" s="15">
        <v>14</v>
      </c>
      <c r="C29" s="15">
        <v>30.486999999999998</v>
      </c>
      <c r="D29" s="15">
        <v>422</v>
      </c>
      <c r="E29" s="15">
        <v>231.25299999999999</v>
      </c>
      <c r="F29" s="15" t="s">
        <v>28</v>
      </c>
      <c r="G29" s="15" t="s">
        <v>28</v>
      </c>
      <c r="H29" s="15">
        <v>4203.049</v>
      </c>
      <c r="I29" s="15">
        <v>5802.6350000000002</v>
      </c>
      <c r="J29" s="15">
        <v>2</v>
      </c>
      <c r="K29" s="15">
        <v>2.5310000000000001</v>
      </c>
      <c r="L29" s="15">
        <v>2000.1220000000001</v>
      </c>
      <c r="M29" s="16">
        <v>8067.0280000000002</v>
      </c>
      <c r="N29" s="4"/>
    </row>
    <row r="30" spans="1:14" s="5" customFormat="1" ht="11.25" customHeight="1" x14ac:dyDescent="0.2">
      <c r="A30" s="38" t="s">
        <v>24</v>
      </c>
      <c r="B30" s="15" t="s">
        <v>28</v>
      </c>
      <c r="C30" s="15" t="s">
        <v>28</v>
      </c>
      <c r="D30" s="15" t="s">
        <v>28</v>
      </c>
      <c r="E30" s="15" t="s">
        <v>28</v>
      </c>
      <c r="F30" s="15" t="s">
        <v>28</v>
      </c>
      <c r="G30" s="15" t="s">
        <v>28</v>
      </c>
      <c r="H30" s="14">
        <v>9771.6059999999998</v>
      </c>
      <c r="I30" s="14">
        <v>18521.375</v>
      </c>
      <c r="J30" s="15">
        <v>2</v>
      </c>
      <c r="K30" s="15">
        <v>1176.8810000000001</v>
      </c>
      <c r="L30" s="14">
        <v>1816.9780000000001</v>
      </c>
      <c r="M30" s="16">
        <v>21515.234</v>
      </c>
      <c r="N30" s="4"/>
    </row>
    <row r="31" spans="1:14" s="5" customFormat="1" ht="11.25" customHeight="1" x14ac:dyDescent="0.2">
      <c r="A31" s="38" t="s">
        <v>25</v>
      </c>
      <c r="B31" s="15" t="s">
        <v>28</v>
      </c>
      <c r="C31" s="15" t="s">
        <v>28</v>
      </c>
      <c r="D31" s="15" t="s">
        <v>28</v>
      </c>
      <c r="E31" s="15" t="s">
        <v>28</v>
      </c>
      <c r="F31" s="15" t="s">
        <v>28</v>
      </c>
      <c r="G31" s="15" t="s">
        <v>28</v>
      </c>
      <c r="H31" s="14">
        <v>298.55399999999997</v>
      </c>
      <c r="I31" s="14">
        <v>956.82</v>
      </c>
      <c r="J31" s="15" t="s">
        <v>28</v>
      </c>
      <c r="K31" s="15" t="s">
        <v>28</v>
      </c>
      <c r="L31" s="14">
        <v>422.82400000000001</v>
      </c>
      <c r="M31" s="16">
        <v>1379.644</v>
      </c>
      <c r="N31" s="4"/>
    </row>
    <row r="32" spans="1:14" s="5" customFormat="1" ht="11.25" customHeight="1" x14ac:dyDescent="0.2">
      <c r="A32" s="41" t="s">
        <v>31</v>
      </c>
      <c r="B32" s="15" t="s">
        <v>28</v>
      </c>
      <c r="C32" s="15" t="s">
        <v>28</v>
      </c>
      <c r="D32" s="15" t="s">
        <v>28</v>
      </c>
      <c r="E32" s="15" t="s">
        <v>28</v>
      </c>
      <c r="F32" s="15" t="s">
        <v>28</v>
      </c>
      <c r="G32" s="15" t="s">
        <v>28</v>
      </c>
      <c r="H32" s="14">
        <v>35.514000000000003</v>
      </c>
      <c r="I32" s="14">
        <v>182.226</v>
      </c>
      <c r="J32" s="14">
        <v>16</v>
      </c>
      <c r="K32" s="14">
        <v>50.991999999999997</v>
      </c>
      <c r="L32" s="14">
        <v>4606.8209999999999</v>
      </c>
      <c r="M32" s="16">
        <v>4840.0389999999998</v>
      </c>
      <c r="N32" s="4"/>
    </row>
    <row r="33" spans="1:14" s="5" customFormat="1" ht="11.25" customHeight="1" x14ac:dyDescent="0.2">
      <c r="A33" s="38" t="s">
        <v>26</v>
      </c>
      <c r="B33" s="15" t="s">
        <v>28</v>
      </c>
      <c r="C33" s="15" t="s">
        <v>28</v>
      </c>
      <c r="D33" s="15" t="s">
        <v>28</v>
      </c>
      <c r="E33" s="15" t="s">
        <v>28</v>
      </c>
      <c r="F33" s="15" t="s">
        <v>28</v>
      </c>
      <c r="G33" s="15" t="s">
        <v>28</v>
      </c>
      <c r="H33" s="15">
        <v>1188.1479999999999</v>
      </c>
      <c r="I33" s="15">
        <v>1650.787</v>
      </c>
      <c r="J33" s="14">
        <v>28</v>
      </c>
      <c r="K33" s="14">
        <v>88.254000000000005</v>
      </c>
      <c r="L33" s="14">
        <v>3655.8870000000002</v>
      </c>
      <c r="M33" s="16">
        <v>5394.9279999999999</v>
      </c>
      <c r="N33" s="4"/>
    </row>
    <row r="34" spans="1:14" s="5" customFormat="1" ht="11.25" customHeight="1" x14ac:dyDescent="0.2">
      <c r="A34" s="38" t="s">
        <v>45</v>
      </c>
      <c r="B34" s="14">
        <v>74</v>
      </c>
      <c r="C34" s="14">
        <v>72.881</v>
      </c>
      <c r="D34" s="14">
        <v>1580</v>
      </c>
      <c r="E34" s="14">
        <v>1817.136</v>
      </c>
      <c r="F34" s="14">
        <v>10068</v>
      </c>
      <c r="G34" s="14">
        <v>7958.768</v>
      </c>
      <c r="H34" s="14">
        <v>31659.345000000001</v>
      </c>
      <c r="I34" s="14">
        <v>58938.036</v>
      </c>
      <c r="J34" s="14">
        <v>703</v>
      </c>
      <c r="K34" s="14">
        <v>1130.3889999999999</v>
      </c>
      <c r="L34" s="14">
        <v>31678.120999999999</v>
      </c>
      <c r="M34" s="16">
        <v>101595.33099999999</v>
      </c>
      <c r="N34" s="4"/>
    </row>
    <row r="35" spans="1:14" s="5" customFormat="1" ht="11.25" customHeight="1" x14ac:dyDescent="0.2">
      <c r="A35" s="4" t="s">
        <v>75</v>
      </c>
      <c r="B35" s="14">
        <v>272</v>
      </c>
      <c r="C35" s="14">
        <v>167.36199999999963</v>
      </c>
      <c r="D35" s="14">
        <v>975</v>
      </c>
      <c r="E35" s="14">
        <v>1772.9320000000007</v>
      </c>
      <c r="F35" s="15" t="s">
        <v>28</v>
      </c>
      <c r="G35" s="15" t="s">
        <v>28</v>
      </c>
      <c r="H35" s="14">
        <v>1488.6699999999837</v>
      </c>
      <c r="I35" s="14">
        <v>3134.6010000000242</v>
      </c>
      <c r="J35" s="14">
        <v>410</v>
      </c>
      <c r="K35" s="14">
        <v>594.07199999999648</v>
      </c>
      <c r="L35" s="14">
        <v>26609.602999999945</v>
      </c>
      <c r="M35" s="16">
        <v>32278.569999999949</v>
      </c>
      <c r="N35" s="4"/>
    </row>
    <row r="36" spans="1:14" s="8" customFormat="1" ht="11.25" customHeight="1" x14ac:dyDescent="0.15">
      <c r="A36" s="84" t="s">
        <v>27</v>
      </c>
      <c r="B36" s="22">
        <v>2590</v>
      </c>
      <c r="C36" s="22">
        <v>1610.549</v>
      </c>
      <c r="D36" s="22">
        <v>31964</v>
      </c>
      <c r="E36" s="22">
        <v>37775.587</v>
      </c>
      <c r="F36" s="22">
        <v>11209</v>
      </c>
      <c r="G36" s="22">
        <v>8880.0889999999999</v>
      </c>
      <c r="H36" s="22">
        <v>247590.54800000001</v>
      </c>
      <c r="I36" s="22">
        <v>425421.54200000002</v>
      </c>
      <c r="J36" s="22">
        <v>20804</v>
      </c>
      <c r="K36" s="22">
        <v>22090.342000000001</v>
      </c>
      <c r="L36" s="22">
        <v>382591.73</v>
      </c>
      <c r="M36" s="22">
        <v>878370.83899999992</v>
      </c>
      <c r="N36" s="3"/>
    </row>
    <row r="37" spans="1:14" s="5" customFormat="1" ht="11.25" customHeight="1" x14ac:dyDescent="0.2">
      <c r="A37" s="4"/>
      <c r="B37" s="14"/>
      <c r="C37" s="33"/>
      <c r="D37" s="14"/>
      <c r="E37" s="33"/>
      <c r="F37" s="14"/>
      <c r="G37" s="33"/>
      <c r="H37" s="14"/>
      <c r="I37" s="33"/>
      <c r="J37" s="14"/>
      <c r="K37" s="33"/>
      <c r="L37" s="34"/>
      <c r="N37" s="4"/>
    </row>
    <row r="38" spans="1:14" s="5" customFormat="1" ht="12.75" customHeight="1" x14ac:dyDescent="0.2">
      <c r="A38" s="79" t="s">
        <v>48</v>
      </c>
    </row>
    <row r="39" spans="1:14" s="5" customFormat="1" ht="12.75" customHeight="1" x14ac:dyDescent="0.2">
      <c r="A39" s="80" t="s">
        <v>49</v>
      </c>
    </row>
    <row r="40" spans="1:14" s="5" customFormat="1" ht="12.75" customHeight="1" x14ac:dyDescent="0.2">
      <c r="A40" s="80"/>
    </row>
    <row r="41" spans="1:14" s="5" customFormat="1" ht="12.75" customHeight="1" x14ac:dyDescent="0.2">
      <c r="A41" s="3" t="s">
        <v>37</v>
      </c>
    </row>
    <row r="42" spans="1:14" s="5" customFormat="1" ht="12.75" customHeight="1" x14ac:dyDescent="0.2">
      <c r="A42" s="4" t="s">
        <v>54</v>
      </c>
    </row>
    <row r="43" spans="1:14" s="5" customFormat="1" ht="12.75" customHeight="1" x14ac:dyDescent="0.2">
      <c r="A43" s="4" t="s">
        <v>55</v>
      </c>
    </row>
    <row r="44" spans="1:14" s="5" customFormat="1" ht="12.75" customHeight="1" x14ac:dyDescent="0.2">
      <c r="A44" s="4" t="s">
        <v>56</v>
      </c>
    </row>
    <row r="45" spans="1:14" s="5" customFormat="1" ht="12.75" customHeight="1" x14ac:dyDescent="0.2">
      <c r="A45" s="4" t="s">
        <v>67</v>
      </c>
    </row>
    <row r="46" spans="1:14" s="5" customFormat="1" ht="12.75" customHeight="1" x14ac:dyDescent="0.2">
      <c r="A46" s="4" t="s">
        <v>68</v>
      </c>
    </row>
    <row r="47" spans="1:14" s="5" customFormat="1" ht="12.75" customHeight="1" x14ac:dyDescent="0.2">
      <c r="A47" s="4" t="s">
        <v>72</v>
      </c>
    </row>
    <row r="48" spans="1:14" s="5" customFormat="1" ht="12.75" customHeight="1" x14ac:dyDescent="0.2">
      <c r="A48" s="4" t="s">
        <v>73</v>
      </c>
    </row>
    <row r="49" spans="1:1" s="5" customFormat="1" ht="12.75" customHeight="1" x14ac:dyDescent="0.2">
      <c r="A49" s="4" t="s">
        <v>74</v>
      </c>
    </row>
    <row r="50" spans="1:1" ht="12.75" customHeight="1" x14ac:dyDescent="0.2"/>
    <row r="51" spans="1:1" ht="12.75" customHeight="1" x14ac:dyDescent="0.2">
      <c r="A51" s="3" t="s">
        <v>50</v>
      </c>
    </row>
    <row r="52" spans="1:1" ht="12.75" customHeight="1" x14ac:dyDescent="0.2">
      <c r="A52" s="81" t="s">
        <v>51</v>
      </c>
    </row>
    <row r="53" spans="1:1" ht="11.25" customHeight="1" x14ac:dyDescent="0.2"/>
    <row r="54" spans="1:1" ht="11.25" customHeight="1" x14ac:dyDescent="0.2"/>
    <row r="55" spans="1:1" ht="11.25" customHeight="1" x14ac:dyDescent="0.2"/>
    <row r="56" spans="1:1" ht="11.25" customHeight="1" x14ac:dyDescent="0.2"/>
    <row r="57" spans="1:1" ht="11.25" customHeight="1" x14ac:dyDescent="0.2"/>
    <row r="58" spans="1:1" ht="11.25" customHeight="1" x14ac:dyDescent="0.2"/>
    <row r="59" spans="1:1" ht="11.25" customHeight="1" x14ac:dyDescent="0.2"/>
  </sheetData>
  <mergeCells count="6">
    <mergeCell ref="H3:I3"/>
    <mergeCell ref="J3:K3"/>
    <mergeCell ref="A3:A5"/>
    <mergeCell ref="B3:C3"/>
    <mergeCell ref="D3:E3"/>
    <mergeCell ref="F3:G3"/>
  </mergeCells>
  <phoneticPr fontId="2" type="noConversion"/>
  <pageMargins left="0.75" right="0.75" top="1" bottom="1" header="0.5" footer="0.5"/>
  <pageSetup paperSize="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N60"/>
  <sheetViews>
    <sheetView workbookViewId="0"/>
  </sheetViews>
  <sheetFormatPr defaultRowHeight="12.75" x14ac:dyDescent="0.2"/>
  <cols>
    <col min="1" max="1" width="20" style="82" customWidth="1"/>
    <col min="2" max="11" width="8.7109375" style="1" customWidth="1"/>
    <col min="12" max="13" width="11.7109375" style="1" customWidth="1"/>
    <col min="14" max="14" width="9.7109375" style="1" customWidth="1"/>
    <col min="15" max="16384" width="9.140625" style="1"/>
  </cols>
  <sheetData>
    <row r="1" spans="1:14" s="2" customFormat="1" ht="17.25" customHeight="1" x14ac:dyDescent="0.25">
      <c r="A1" s="76" t="s">
        <v>84</v>
      </c>
    </row>
    <row r="2" spans="1:14" s="2" customFormat="1" ht="11.25" customHeight="1" x14ac:dyDescent="0.25">
      <c r="A2" s="76"/>
    </row>
    <row r="3" spans="1:14" s="77" customFormat="1" ht="25.5" customHeight="1" x14ac:dyDescent="0.2">
      <c r="A3" s="175" t="s">
        <v>38</v>
      </c>
      <c r="B3" s="170" t="s">
        <v>36</v>
      </c>
      <c r="C3" s="170"/>
      <c r="D3" s="173" t="s">
        <v>65</v>
      </c>
      <c r="E3" s="173"/>
      <c r="F3" s="170" t="s">
        <v>35</v>
      </c>
      <c r="G3" s="170"/>
      <c r="H3" s="173" t="s">
        <v>66</v>
      </c>
      <c r="I3" s="173"/>
      <c r="J3" s="170" t="s">
        <v>70</v>
      </c>
      <c r="K3" s="170"/>
      <c r="L3" s="90" t="s">
        <v>71</v>
      </c>
      <c r="M3" s="90" t="s">
        <v>34</v>
      </c>
    </row>
    <row r="4" spans="1:14" s="77" customFormat="1" ht="10.5" x14ac:dyDescent="0.2">
      <c r="A4" s="175"/>
      <c r="B4" s="89" t="s">
        <v>59</v>
      </c>
      <c r="C4" s="89" t="s">
        <v>57</v>
      </c>
      <c r="D4" s="90" t="s">
        <v>69</v>
      </c>
      <c r="E4" s="90" t="s">
        <v>57</v>
      </c>
      <c r="F4" s="89" t="s">
        <v>58</v>
      </c>
      <c r="G4" s="89" t="s">
        <v>57</v>
      </c>
      <c r="H4" s="90" t="s">
        <v>58</v>
      </c>
      <c r="I4" s="90" t="s">
        <v>57</v>
      </c>
      <c r="J4" s="89" t="s">
        <v>58</v>
      </c>
      <c r="K4" s="89" t="s">
        <v>57</v>
      </c>
      <c r="L4" s="90" t="s">
        <v>57</v>
      </c>
      <c r="M4" s="90" t="s">
        <v>57</v>
      </c>
    </row>
    <row r="5" spans="1:14" s="31" customFormat="1" ht="12.75" customHeight="1" x14ac:dyDescent="0.2">
      <c r="A5" s="176"/>
      <c r="B5" s="88" t="s">
        <v>60</v>
      </c>
      <c r="C5" s="88" t="s">
        <v>61</v>
      </c>
      <c r="D5" s="88" t="s">
        <v>62</v>
      </c>
      <c r="E5" s="88" t="s">
        <v>61</v>
      </c>
      <c r="F5" s="88" t="s">
        <v>63</v>
      </c>
      <c r="G5" s="88" t="s">
        <v>61</v>
      </c>
      <c r="H5" s="88" t="s">
        <v>63</v>
      </c>
      <c r="I5" s="88" t="s">
        <v>61</v>
      </c>
      <c r="J5" s="88" t="s">
        <v>64</v>
      </c>
      <c r="K5" s="88" t="s">
        <v>61</v>
      </c>
      <c r="L5" s="88" t="s">
        <v>61</v>
      </c>
      <c r="M5" s="88" t="s">
        <v>61</v>
      </c>
    </row>
    <row r="6" spans="1:14" s="5" customFormat="1" ht="11.25" customHeight="1" x14ac:dyDescent="0.2">
      <c r="A6" s="38" t="s">
        <v>0</v>
      </c>
      <c r="B6" s="14">
        <v>2053</v>
      </c>
      <c r="C6" s="14">
        <v>1023.7809999999999</v>
      </c>
      <c r="D6" s="14">
        <v>4001</v>
      </c>
      <c r="E6" s="14">
        <v>3664.9229999999998</v>
      </c>
      <c r="F6" s="15" t="s">
        <v>28</v>
      </c>
      <c r="G6" s="15" t="s">
        <v>28</v>
      </c>
      <c r="H6" s="14">
        <v>67530.312999999995</v>
      </c>
      <c r="I6" s="14">
        <v>103127.141</v>
      </c>
      <c r="J6" s="14">
        <v>7625</v>
      </c>
      <c r="K6" s="14">
        <v>7831.3649999999998</v>
      </c>
      <c r="L6" s="14">
        <v>162169.05900000001</v>
      </c>
      <c r="M6" s="16">
        <v>277816.26900000003</v>
      </c>
      <c r="N6" s="4"/>
    </row>
    <row r="7" spans="1:14" s="5" customFormat="1" ht="11.25" customHeight="1" x14ac:dyDescent="0.2">
      <c r="A7" s="38" t="s">
        <v>1</v>
      </c>
      <c r="B7" s="15" t="s">
        <v>28</v>
      </c>
      <c r="C7" s="15" t="s">
        <v>28</v>
      </c>
      <c r="D7" s="15" t="s">
        <v>28</v>
      </c>
      <c r="E7" s="15" t="s">
        <v>28</v>
      </c>
      <c r="F7" s="15" t="s">
        <v>28</v>
      </c>
      <c r="G7" s="15" t="s">
        <v>28</v>
      </c>
      <c r="H7" s="14">
        <v>1342.8579999999999</v>
      </c>
      <c r="I7" s="14">
        <v>2231.4189999999999</v>
      </c>
      <c r="J7" s="15" t="s">
        <v>28</v>
      </c>
      <c r="K7" s="15" t="s">
        <v>28</v>
      </c>
      <c r="L7" s="14">
        <v>105.985</v>
      </c>
      <c r="M7" s="16">
        <v>2337.404</v>
      </c>
      <c r="N7" s="4"/>
    </row>
    <row r="8" spans="1:14" s="5" customFormat="1" ht="11.25" customHeight="1" x14ac:dyDescent="0.2">
      <c r="A8" s="38" t="s">
        <v>3</v>
      </c>
      <c r="B8" s="15" t="s">
        <v>28</v>
      </c>
      <c r="C8" s="15"/>
      <c r="D8" s="15">
        <v>97</v>
      </c>
      <c r="E8" s="15">
        <v>174.774</v>
      </c>
      <c r="F8" s="15" t="s">
        <v>28</v>
      </c>
      <c r="G8" s="15" t="s">
        <v>28</v>
      </c>
      <c r="H8" s="14">
        <v>2927.4920000000002</v>
      </c>
      <c r="I8" s="14">
        <v>4052.0369999999998</v>
      </c>
      <c r="J8" s="14">
        <v>90</v>
      </c>
      <c r="K8" s="14">
        <v>88.590999999999994</v>
      </c>
      <c r="L8" s="14">
        <v>9665.0959999999995</v>
      </c>
      <c r="M8" s="16">
        <v>13981.498</v>
      </c>
      <c r="N8" s="4"/>
    </row>
    <row r="9" spans="1:14" s="5" customFormat="1" ht="11.25" customHeight="1" x14ac:dyDescent="0.2">
      <c r="A9" s="38" t="s">
        <v>2</v>
      </c>
      <c r="B9" s="15" t="s">
        <v>28</v>
      </c>
      <c r="C9" s="15" t="s">
        <v>28</v>
      </c>
      <c r="D9" s="15" t="s">
        <v>28</v>
      </c>
      <c r="E9" s="15" t="s">
        <v>28</v>
      </c>
      <c r="F9" s="15" t="s">
        <v>28</v>
      </c>
      <c r="G9" s="15" t="s">
        <v>28</v>
      </c>
      <c r="H9" s="14">
        <v>5993.9679999999998</v>
      </c>
      <c r="I9" s="14">
        <v>8993.0220000000008</v>
      </c>
      <c r="J9" s="15" t="s">
        <v>28</v>
      </c>
      <c r="K9" s="14">
        <v>0.68400000000000005</v>
      </c>
      <c r="L9" s="14">
        <v>641.23800000000006</v>
      </c>
      <c r="M9" s="16">
        <v>9634.9440000000013</v>
      </c>
      <c r="N9" s="4"/>
    </row>
    <row r="10" spans="1:14" s="5" customFormat="1" ht="11.25" customHeight="1" x14ac:dyDescent="0.2">
      <c r="A10" s="38" t="s">
        <v>29</v>
      </c>
      <c r="B10" s="15" t="s">
        <v>28</v>
      </c>
      <c r="C10" s="14">
        <v>1.2390000000000001</v>
      </c>
      <c r="D10" s="14">
        <v>91</v>
      </c>
      <c r="E10" s="14">
        <v>51.622999999999998</v>
      </c>
      <c r="F10" s="15" t="s">
        <v>28</v>
      </c>
      <c r="G10" s="15" t="s">
        <v>28</v>
      </c>
      <c r="H10" s="14">
        <v>7026.8419999999996</v>
      </c>
      <c r="I10" s="14">
        <v>23162.835999999999</v>
      </c>
      <c r="J10" s="14">
        <v>55</v>
      </c>
      <c r="K10" s="14">
        <v>52.639000000000003</v>
      </c>
      <c r="L10" s="14">
        <v>9394.0429999999997</v>
      </c>
      <c r="M10" s="16">
        <v>32663.38</v>
      </c>
      <c r="N10" s="4"/>
    </row>
    <row r="11" spans="1:14" s="5" customFormat="1" ht="11.25" customHeight="1" x14ac:dyDescent="0.2">
      <c r="A11" s="38" t="s">
        <v>4</v>
      </c>
      <c r="B11" s="14">
        <v>42</v>
      </c>
      <c r="C11" s="14">
        <v>46.823</v>
      </c>
      <c r="D11" s="14">
        <v>19911</v>
      </c>
      <c r="E11" s="14">
        <v>21290.828000000001</v>
      </c>
      <c r="F11" s="15">
        <v>93</v>
      </c>
      <c r="G11" s="15">
        <v>88.287000000000006</v>
      </c>
      <c r="H11" s="14">
        <v>7192.7150000000001</v>
      </c>
      <c r="I11" s="14">
        <v>9754.3559999999998</v>
      </c>
      <c r="J11" s="14">
        <v>737</v>
      </c>
      <c r="K11" s="14">
        <v>1420.932</v>
      </c>
      <c r="L11" s="14">
        <v>5886.1009999999997</v>
      </c>
      <c r="M11" s="16">
        <v>38487.326999999997</v>
      </c>
      <c r="N11" s="4"/>
    </row>
    <row r="12" spans="1:14" s="5" customFormat="1" ht="11.25" customHeight="1" x14ac:dyDescent="0.2">
      <c r="A12" s="38" t="s">
        <v>6</v>
      </c>
      <c r="B12" s="15">
        <v>365</v>
      </c>
      <c r="C12" s="15">
        <v>216.34100000000001</v>
      </c>
      <c r="D12" s="14">
        <v>2770</v>
      </c>
      <c r="E12" s="14">
        <v>2487.5239999999999</v>
      </c>
      <c r="F12" s="15" t="s">
        <v>28</v>
      </c>
      <c r="G12" s="15" t="s">
        <v>28</v>
      </c>
      <c r="H12" s="19" t="s">
        <v>28</v>
      </c>
      <c r="I12" s="15">
        <v>0.68500000000000005</v>
      </c>
      <c r="J12" s="14">
        <v>1198</v>
      </c>
      <c r="K12" s="14">
        <v>1355.787</v>
      </c>
      <c r="L12" s="14">
        <v>924.66499999999996</v>
      </c>
      <c r="M12" s="16">
        <v>4986.0020000000004</v>
      </c>
      <c r="N12" s="4"/>
    </row>
    <row r="13" spans="1:14" s="5" customFormat="1" ht="11.25" customHeight="1" x14ac:dyDescent="0.2">
      <c r="A13" s="38" t="s">
        <v>7</v>
      </c>
      <c r="B13" s="15" t="s">
        <v>28</v>
      </c>
      <c r="C13" s="15" t="s">
        <v>28</v>
      </c>
      <c r="D13" s="15">
        <v>10</v>
      </c>
      <c r="E13" s="15">
        <v>12.734999999999999</v>
      </c>
      <c r="F13" s="15" t="s">
        <v>28</v>
      </c>
      <c r="G13" s="15" t="s">
        <v>28</v>
      </c>
      <c r="H13" s="14">
        <v>20262.909</v>
      </c>
      <c r="I13" s="14">
        <v>34421.692999999999</v>
      </c>
      <c r="J13" s="15">
        <v>2</v>
      </c>
      <c r="K13" s="19">
        <v>21.318999999999999</v>
      </c>
      <c r="L13" s="14">
        <v>521.37199999999996</v>
      </c>
      <c r="M13" s="16">
        <v>34977.118999999999</v>
      </c>
      <c r="N13" s="4"/>
    </row>
    <row r="14" spans="1:14" s="5" customFormat="1" ht="11.25" customHeight="1" x14ac:dyDescent="0.2">
      <c r="A14" s="38" t="s">
        <v>8</v>
      </c>
      <c r="B14" s="15" t="s">
        <v>28</v>
      </c>
      <c r="C14" s="15" t="s">
        <v>28</v>
      </c>
      <c r="D14" s="15">
        <v>2</v>
      </c>
      <c r="E14" s="15">
        <v>1.9430000000000001</v>
      </c>
      <c r="F14" s="15" t="s">
        <v>28</v>
      </c>
      <c r="G14" s="19" t="s">
        <v>28</v>
      </c>
      <c r="H14" s="14">
        <v>1883.4549999999999</v>
      </c>
      <c r="I14" s="14">
        <v>4528.4840000000004</v>
      </c>
      <c r="J14" s="15" t="s">
        <v>28</v>
      </c>
      <c r="K14" s="19" t="s">
        <v>28</v>
      </c>
      <c r="L14" s="14">
        <v>12928.772000000001</v>
      </c>
      <c r="M14" s="16">
        <v>17459.199000000001</v>
      </c>
      <c r="N14" s="4"/>
    </row>
    <row r="15" spans="1:14" s="5" customFormat="1" ht="11.25" customHeight="1" x14ac:dyDescent="0.2">
      <c r="A15" s="41" t="s">
        <v>9</v>
      </c>
      <c r="B15" s="15" t="s">
        <v>28</v>
      </c>
      <c r="C15" s="15" t="s">
        <v>28</v>
      </c>
      <c r="D15" s="15">
        <v>93</v>
      </c>
      <c r="E15" s="15">
        <v>109.422</v>
      </c>
      <c r="F15" s="15">
        <v>27</v>
      </c>
      <c r="G15" s="15">
        <v>60.798000000000002</v>
      </c>
      <c r="H15" s="14">
        <v>18834.286</v>
      </c>
      <c r="I15" s="14">
        <v>37007.07</v>
      </c>
      <c r="J15" s="14">
        <v>39</v>
      </c>
      <c r="K15" s="14">
        <v>606.42999999999995</v>
      </c>
      <c r="L15" s="14">
        <v>9214.8320000000003</v>
      </c>
      <c r="M15" s="16">
        <v>46997.552000000003</v>
      </c>
      <c r="N15" s="4"/>
    </row>
    <row r="16" spans="1:14" s="5" customFormat="1" ht="11.25" customHeight="1" x14ac:dyDescent="0.2">
      <c r="A16" s="38" t="s">
        <v>41</v>
      </c>
      <c r="B16" s="15" t="s">
        <v>28</v>
      </c>
      <c r="C16" s="15" t="s">
        <v>28</v>
      </c>
      <c r="D16" s="15">
        <v>28</v>
      </c>
      <c r="E16" s="15">
        <v>1.877</v>
      </c>
      <c r="F16" s="15" t="s">
        <v>28</v>
      </c>
      <c r="G16" s="15" t="s">
        <v>28</v>
      </c>
      <c r="H16" s="14">
        <v>93.242000000000004</v>
      </c>
      <c r="I16" s="14">
        <v>337.78300000000002</v>
      </c>
      <c r="J16" s="15">
        <v>1</v>
      </c>
      <c r="K16" s="15">
        <v>0.57099999999999995</v>
      </c>
      <c r="L16" s="14">
        <v>3008.6950000000002</v>
      </c>
      <c r="M16" s="16">
        <v>3349.9259999999999</v>
      </c>
      <c r="N16" s="4"/>
    </row>
    <row r="17" spans="1:14" s="5" customFormat="1" ht="11.25" customHeight="1" x14ac:dyDescent="0.2">
      <c r="A17" s="38" t="s">
        <v>11</v>
      </c>
      <c r="B17" s="15" t="s">
        <v>28</v>
      </c>
      <c r="C17" s="15" t="s">
        <v>28</v>
      </c>
      <c r="D17" s="14">
        <v>889</v>
      </c>
      <c r="E17" s="14">
        <v>898.26499999999999</v>
      </c>
      <c r="F17" s="15">
        <v>600</v>
      </c>
      <c r="G17" s="15">
        <v>362.14299999999997</v>
      </c>
      <c r="H17" s="14">
        <v>10530.954</v>
      </c>
      <c r="I17" s="14">
        <v>13614.342000000001</v>
      </c>
      <c r="J17" s="14">
        <v>1059</v>
      </c>
      <c r="K17" s="14">
        <v>1292.856</v>
      </c>
      <c r="L17" s="14">
        <v>26997.030999999999</v>
      </c>
      <c r="M17" s="16">
        <v>43163.636999999995</v>
      </c>
      <c r="N17" s="4"/>
    </row>
    <row r="18" spans="1:14" s="5" customFormat="1" ht="11.25" customHeight="1" x14ac:dyDescent="0.2">
      <c r="A18" s="38" t="s">
        <v>12</v>
      </c>
      <c r="B18" s="15" t="s">
        <v>28</v>
      </c>
      <c r="C18" s="15" t="s">
        <v>28</v>
      </c>
      <c r="D18" s="15">
        <v>128</v>
      </c>
      <c r="E18" s="15">
        <v>196.09299999999999</v>
      </c>
      <c r="F18" s="15" t="s">
        <v>28</v>
      </c>
      <c r="G18" s="15" t="s">
        <v>28</v>
      </c>
      <c r="H18" s="14">
        <v>13918.436</v>
      </c>
      <c r="I18" s="14">
        <v>22096.585999999999</v>
      </c>
      <c r="J18" s="15">
        <v>7</v>
      </c>
      <c r="K18" s="15">
        <v>33.448999999999998</v>
      </c>
      <c r="L18" s="14">
        <v>10879.47</v>
      </c>
      <c r="M18" s="16">
        <v>33204.597999999998</v>
      </c>
      <c r="N18" s="4"/>
    </row>
    <row r="19" spans="1:14" s="5" customFormat="1" ht="11.25" customHeight="1" x14ac:dyDescent="0.2">
      <c r="A19" s="38" t="s">
        <v>13</v>
      </c>
      <c r="B19" s="15" t="s">
        <v>28</v>
      </c>
      <c r="C19" s="15" t="s">
        <v>28</v>
      </c>
      <c r="D19" s="15" t="s">
        <v>28</v>
      </c>
      <c r="E19" s="15" t="s">
        <v>28</v>
      </c>
      <c r="F19" s="15" t="s">
        <v>28</v>
      </c>
      <c r="G19" s="15" t="s">
        <v>28</v>
      </c>
      <c r="H19" s="14">
        <v>9240.134</v>
      </c>
      <c r="I19" s="14">
        <v>22508.594000000001</v>
      </c>
      <c r="J19" s="15" t="s">
        <v>28</v>
      </c>
      <c r="K19" s="15">
        <v>1.4119999999999999</v>
      </c>
      <c r="L19" s="14">
        <v>6189.2979999999998</v>
      </c>
      <c r="M19" s="16">
        <v>28699.304</v>
      </c>
      <c r="N19" s="4"/>
    </row>
    <row r="20" spans="1:14" s="5" customFormat="1" ht="11.25" customHeight="1" x14ac:dyDescent="0.2">
      <c r="A20" s="41" t="s">
        <v>42</v>
      </c>
      <c r="B20" s="15" t="s">
        <v>28</v>
      </c>
      <c r="C20" s="19" t="s">
        <v>28</v>
      </c>
      <c r="D20" s="15" t="s">
        <v>28</v>
      </c>
      <c r="E20" s="15" t="s">
        <v>28</v>
      </c>
      <c r="F20" s="15" t="s">
        <v>28</v>
      </c>
      <c r="G20" s="15" t="s">
        <v>28</v>
      </c>
      <c r="H20" s="14">
        <v>7593.36</v>
      </c>
      <c r="I20" s="14">
        <v>11314.481</v>
      </c>
      <c r="J20" s="15">
        <v>165</v>
      </c>
      <c r="K20" s="15">
        <v>87.826999999999998</v>
      </c>
      <c r="L20" s="14">
        <v>2358.9969999999998</v>
      </c>
      <c r="M20" s="16">
        <v>13761.305</v>
      </c>
      <c r="N20" s="4"/>
    </row>
    <row r="21" spans="1:14" s="5" customFormat="1" ht="11.25" customHeight="1" x14ac:dyDescent="0.2">
      <c r="A21" s="38" t="s">
        <v>14</v>
      </c>
      <c r="B21" s="15" t="s">
        <v>28</v>
      </c>
      <c r="C21" s="19" t="s">
        <v>28</v>
      </c>
      <c r="D21" s="14">
        <v>412</v>
      </c>
      <c r="E21" s="14">
        <v>412.589</v>
      </c>
      <c r="F21" s="15" t="s">
        <v>28</v>
      </c>
      <c r="G21" s="15" t="s">
        <v>28</v>
      </c>
      <c r="H21" s="14">
        <v>459.10199999999998</v>
      </c>
      <c r="I21" s="14">
        <v>1310.3340000000001</v>
      </c>
      <c r="J21" s="14">
        <v>973</v>
      </c>
      <c r="K21" s="14">
        <v>872.68899999999996</v>
      </c>
      <c r="L21" s="14">
        <v>16890.302</v>
      </c>
      <c r="M21" s="16">
        <v>19485.913999999997</v>
      </c>
      <c r="N21" s="4"/>
    </row>
    <row r="22" spans="1:14" s="5" customFormat="1" ht="11.25" customHeight="1" x14ac:dyDescent="0.2">
      <c r="A22" s="38" t="s">
        <v>16</v>
      </c>
      <c r="B22" s="15" t="s">
        <v>28</v>
      </c>
      <c r="C22" s="15" t="s">
        <v>28</v>
      </c>
      <c r="D22" s="15" t="s">
        <v>28</v>
      </c>
      <c r="E22" s="15" t="s">
        <v>28</v>
      </c>
      <c r="F22" s="15" t="s">
        <v>28</v>
      </c>
      <c r="G22" s="15" t="s">
        <v>28</v>
      </c>
      <c r="H22" s="14">
        <v>3081.3809999999999</v>
      </c>
      <c r="I22" s="14">
        <v>5241.9179999999997</v>
      </c>
      <c r="J22" s="14">
        <v>171</v>
      </c>
      <c r="K22" s="14">
        <v>710.82</v>
      </c>
      <c r="L22" s="14">
        <v>7545.0290000000005</v>
      </c>
      <c r="M22" s="16">
        <v>13497.767</v>
      </c>
      <c r="N22" s="4"/>
    </row>
    <row r="23" spans="1:14" s="5" customFormat="1" ht="11.25" customHeight="1" x14ac:dyDescent="0.2">
      <c r="A23" s="38" t="s">
        <v>17</v>
      </c>
      <c r="B23" s="15" t="s">
        <v>28</v>
      </c>
      <c r="C23" s="15" t="s">
        <v>28</v>
      </c>
      <c r="D23" s="15" t="s">
        <v>28</v>
      </c>
      <c r="E23" s="15" t="s">
        <v>28</v>
      </c>
      <c r="F23" s="15" t="s">
        <v>28</v>
      </c>
      <c r="G23" s="15" t="s">
        <v>28</v>
      </c>
      <c r="H23" s="14">
        <v>979.77700000000004</v>
      </c>
      <c r="I23" s="14">
        <v>1262.96</v>
      </c>
      <c r="J23" s="15" t="s">
        <v>28</v>
      </c>
      <c r="K23" s="15" t="s">
        <v>28</v>
      </c>
      <c r="L23" s="14">
        <v>270.24900000000002</v>
      </c>
      <c r="M23" s="16">
        <v>1533.2090000000001</v>
      </c>
      <c r="N23" s="4"/>
    </row>
    <row r="24" spans="1:14" s="5" customFormat="1" ht="11.25" customHeight="1" x14ac:dyDescent="0.2">
      <c r="A24" s="38" t="s">
        <v>18</v>
      </c>
      <c r="B24" s="15">
        <v>154</v>
      </c>
      <c r="C24" s="15">
        <v>141.31200000000001</v>
      </c>
      <c r="D24" s="14">
        <v>1450</v>
      </c>
      <c r="E24" s="14">
        <v>1207.8309999999999</v>
      </c>
      <c r="F24" s="15" t="s">
        <v>28</v>
      </c>
      <c r="G24" s="15" t="s">
        <v>28</v>
      </c>
      <c r="H24" s="15" t="s">
        <v>28</v>
      </c>
      <c r="I24" s="15" t="s">
        <v>28</v>
      </c>
      <c r="J24" s="14">
        <v>23</v>
      </c>
      <c r="K24" s="14">
        <v>8.4870000000000001</v>
      </c>
      <c r="L24" s="14">
        <v>34.436999999999998</v>
      </c>
      <c r="M24" s="16">
        <v>1391.067</v>
      </c>
      <c r="N24" s="4"/>
    </row>
    <row r="25" spans="1:14" s="5" customFormat="1" ht="11.25" customHeight="1" x14ac:dyDescent="0.2">
      <c r="A25" s="38" t="s">
        <v>19</v>
      </c>
      <c r="B25" s="15" t="s">
        <v>28</v>
      </c>
      <c r="C25" s="15" t="s">
        <v>28</v>
      </c>
      <c r="D25" s="15">
        <v>1</v>
      </c>
      <c r="E25" s="15">
        <v>1.1779999999999999</v>
      </c>
      <c r="F25" s="15" t="s">
        <v>28</v>
      </c>
      <c r="G25" s="15" t="s">
        <v>28</v>
      </c>
      <c r="H25" s="15" t="s">
        <v>28</v>
      </c>
      <c r="I25" s="15" t="s">
        <v>28</v>
      </c>
      <c r="J25" s="15" t="s">
        <v>28</v>
      </c>
      <c r="K25" s="15" t="s">
        <v>28</v>
      </c>
      <c r="L25" s="14">
        <v>1545.3209999999999</v>
      </c>
      <c r="M25" s="16">
        <v>1546.499</v>
      </c>
      <c r="N25" s="4"/>
    </row>
    <row r="26" spans="1:14" s="5" customFormat="1" ht="11.25" customHeight="1" x14ac:dyDescent="0.2">
      <c r="A26" s="38" t="s">
        <v>20</v>
      </c>
      <c r="B26" s="15" t="s">
        <v>28</v>
      </c>
      <c r="C26" s="15" t="s">
        <v>28</v>
      </c>
      <c r="D26" s="15" t="s">
        <v>28</v>
      </c>
      <c r="E26" s="15" t="s">
        <v>28</v>
      </c>
      <c r="F26" s="15" t="s">
        <v>28</v>
      </c>
      <c r="G26" s="15" t="s">
        <v>28</v>
      </c>
      <c r="H26" s="15" t="s">
        <v>28</v>
      </c>
      <c r="I26" s="15" t="s">
        <v>28</v>
      </c>
      <c r="J26" s="15" t="s">
        <v>28</v>
      </c>
      <c r="K26" s="15">
        <v>5.5460000000000003</v>
      </c>
      <c r="L26" s="14">
        <v>10013.299999999999</v>
      </c>
      <c r="M26" s="16">
        <v>10018.846</v>
      </c>
      <c r="N26" s="4"/>
    </row>
    <row r="27" spans="1:14" s="5" customFormat="1" ht="11.25" customHeight="1" x14ac:dyDescent="0.2">
      <c r="A27" s="38" t="s">
        <v>21</v>
      </c>
      <c r="B27" s="15" t="s">
        <v>28</v>
      </c>
      <c r="C27" s="15" t="s">
        <v>28</v>
      </c>
      <c r="D27" s="14">
        <v>59</v>
      </c>
      <c r="E27" s="14">
        <v>123.83199999999999</v>
      </c>
      <c r="F27" s="15" t="s">
        <v>28</v>
      </c>
      <c r="G27" s="15" t="s">
        <v>28</v>
      </c>
      <c r="H27" s="14">
        <v>667.14200000000005</v>
      </c>
      <c r="I27" s="14">
        <v>3445.2689999999998</v>
      </c>
      <c r="J27" s="14">
        <v>268</v>
      </c>
      <c r="K27" s="14">
        <v>582.03499999999997</v>
      </c>
      <c r="L27" s="14">
        <v>2239.85</v>
      </c>
      <c r="M27" s="16">
        <v>6390.9859999999999</v>
      </c>
      <c r="N27" s="4"/>
    </row>
    <row r="28" spans="1:14" s="5" customFormat="1" ht="11.25" customHeight="1" x14ac:dyDescent="0.2">
      <c r="A28" s="38" t="s">
        <v>30</v>
      </c>
      <c r="B28" s="15">
        <v>86</v>
      </c>
      <c r="C28" s="15">
        <v>54.44</v>
      </c>
      <c r="D28" s="14">
        <v>655</v>
      </c>
      <c r="E28" s="14">
        <v>460.92599999999999</v>
      </c>
      <c r="F28" s="15" t="s">
        <v>28</v>
      </c>
      <c r="G28" s="15" t="s">
        <v>28</v>
      </c>
      <c r="H28" s="15" t="s">
        <v>28</v>
      </c>
      <c r="I28" s="15" t="s">
        <v>28</v>
      </c>
      <c r="J28" s="15" t="s">
        <v>28</v>
      </c>
      <c r="K28" s="15" t="s">
        <v>28</v>
      </c>
      <c r="L28" s="15">
        <v>33.591000000000001</v>
      </c>
      <c r="M28" s="16">
        <v>548.95699999999999</v>
      </c>
      <c r="N28" s="4"/>
    </row>
    <row r="29" spans="1:14" s="5" customFormat="1" ht="11.25" customHeight="1" x14ac:dyDescent="0.2">
      <c r="A29" s="38" t="s">
        <v>22</v>
      </c>
      <c r="B29" s="15">
        <v>15</v>
      </c>
      <c r="C29" s="15">
        <v>7.5549999999999997</v>
      </c>
      <c r="D29" s="15">
        <v>78</v>
      </c>
      <c r="E29" s="15">
        <v>38.484000000000002</v>
      </c>
      <c r="F29" s="15" t="s">
        <v>28</v>
      </c>
      <c r="G29" s="15" t="s">
        <v>28</v>
      </c>
      <c r="H29" s="15">
        <v>5943.4030000000002</v>
      </c>
      <c r="I29" s="15">
        <v>7405.393</v>
      </c>
      <c r="J29" s="15" t="s">
        <v>28</v>
      </c>
      <c r="K29" s="15" t="s">
        <v>28</v>
      </c>
      <c r="L29" s="15">
        <v>2704.0770000000002</v>
      </c>
      <c r="M29" s="16">
        <v>10154.509000000002</v>
      </c>
      <c r="N29" s="4"/>
    </row>
    <row r="30" spans="1:14" s="5" customFormat="1" ht="11.25" customHeight="1" x14ac:dyDescent="0.2">
      <c r="A30" s="38" t="s">
        <v>24</v>
      </c>
      <c r="B30" s="15" t="s">
        <v>28</v>
      </c>
      <c r="C30" s="15" t="s">
        <v>28</v>
      </c>
      <c r="D30" s="15" t="s">
        <v>28</v>
      </c>
      <c r="E30" s="15" t="s">
        <v>28</v>
      </c>
      <c r="F30" s="15" t="s">
        <v>28</v>
      </c>
      <c r="G30" s="15" t="s">
        <v>28</v>
      </c>
      <c r="H30" s="14">
        <v>9256.0409999999993</v>
      </c>
      <c r="I30" s="14">
        <v>19125.172999999999</v>
      </c>
      <c r="J30" s="15" t="s">
        <v>28</v>
      </c>
      <c r="K30" s="15">
        <v>748.66300000000001</v>
      </c>
      <c r="L30" s="14">
        <v>1210.365</v>
      </c>
      <c r="M30" s="16">
        <v>21084.200999999997</v>
      </c>
      <c r="N30" s="4"/>
    </row>
    <row r="31" spans="1:14" s="5" customFormat="1" ht="11.25" customHeight="1" x14ac:dyDescent="0.2">
      <c r="A31" s="38" t="s">
        <v>25</v>
      </c>
      <c r="B31" s="15" t="s">
        <v>28</v>
      </c>
      <c r="C31" s="15" t="s">
        <v>28</v>
      </c>
      <c r="D31" s="15" t="s">
        <v>28</v>
      </c>
      <c r="E31" s="15" t="s">
        <v>28</v>
      </c>
      <c r="F31" s="15" t="s">
        <v>28</v>
      </c>
      <c r="G31" s="15" t="s">
        <v>28</v>
      </c>
      <c r="H31" s="14">
        <v>187.94800000000001</v>
      </c>
      <c r="I31" s="14">
        <v>572.35400000000004</v>
      </c>
      <c r="J31" s="15" t="s">
        <v>28</v>
      </c>
      <c r="K31" s="15" t="s">
        <v>28</v>
      </c>
      <c r="L31" s="14">
        <v>477.834</v>
      </c>
      <c r="M31" s="16">
        <v>1050.1880000000001</v>
      </c>
      <c r="N31" s="4"/>
    </row>
    <row r="32" spans="1:14" s="5" customFormat="1" ht="11.25" customHeight="1" x14ac:dyDescent="0.2">
      <c r="A32" s="41" t="s">
        <v>31</v>
      </c>
      <c r="B32" s="15" t="s">
        <v>28</v>
      </c>
      <c r="C32" s="15" t="s">
        <v>28</v>
      </c>
      <c r="D32" s="15" t="s">
        <v>28</v>
      </c>
      <c r="E32" s="15" t="s">
        <v>28</v>
      </c>
      <c r="F32" s="15" t="s">
        <v>28</v>
      </c>
      <c r="G32" s="15" t="s">
        <v>28</v>
      </c>
      <c r="H32" s="14">
        <v>162.80199999999999</v>
      </c>
      <c r="I32" s="14">
        <v>397.98</v>
      </c>
      <c r="J32" s="14">
        <v>13</v>
      </c>
      <c r="K32" s="14">
        <v>42.661999999999999</v>
      </c>
      <c r="L32" s="14">
        <v>6194.2910000000002</v>
      </c>
      <c r="M32" s="16">
        <v>6634.9330000000009</v>
      </c>
      <c r="N32" s="4"/>
    </row>
    <row r="33" spans="1:14" s="5" customFormat="1" ht="11.25" customHeight="1" x14ac:dyDescent="0.2">
      <c r="A33" s="38" t="s">
        <v>26</v>
      </c>
      <c r="B33" s="15" t="s">
        <v>28</v>
      </c>
      <c r="C33" s="15" t="s">
        <v>28</v>
      </c>
      <c r="D33" s="15">
        <v>7</v>
      </c>
      <c r="E33" s="15">
        <v>30.065999999999999</v>
      </c>
      <c r="F33" s="15" t="s">
        <v>28</v>
      </c>
      <c r="G33" s="15" t="s">
        <v>28</v>
      </c>
      <c r="H33" s="15">
        <v>272.726</v>
      </c>
      <c r="I33" s="15">
        <v>368.101</v>
      </c>
      <c r="J33" s="14">
        <v>23</v>
      </c>
      <c r="K33" s="14">
        <v>15.840999999999999</v>
      </c>
      <c r="L33" s="14">
        <v>3328.2269999999999</v>
      </c>
      <c r="M33" s="16">
        <v>3742.2349999999997</v>
      </c>
      <c r="N33" s="4"/>
    </row>
    <row r="34" spans="1:14" s="5" customFormat="1" ht="11.25" customHeight="1" x14ac:dyDescent="0.2">
      <c r="A34" s="38" t="s">
        <v>45</v>
      </c>
      <c r="B34" s="14">
        <v>360</v>
      </c>
      <c r="C34" s="14">
        <v>187.43700000000001</v>
      </c>
      <c r="D34" s="14">
        <v>1307</v>
      </c>
      <c r="E34" s="14">
        <v>1798.9670000000001</v>
      </c>
      <c r="F34" s="14">
        <v>17942</v>
      </c>
      <c r="G34" s="14">
        <v>11334.421</v>
      </c>
      <c r="H34" s="14">
        <v>31719.044000000002</v>
      </c>
      <c r="I34" s="14">
        <v>55620.540999999997</v>
      </c>
      <c r="J34" s="14">
        <v>1118</v>
      </c>
      <c r="K34" s="14">
        <v>1483.1510000000001</v>
      </c>
      <c r="L34" s="14">
        <v>33091.75</v>
      </c>
      <c r="M34" s="16">
        <v>103516.26700000001</v>
      </c>
      <c r="N34" s="4"/>
    </row>
    <row r="35" spans="1:14" s="5" customFormat="1" ht="11.25" customHeight="1" x14ac:dyDescent="0.2">
      <c r="A35" s="4" t="s">
        <v>75</v>
      </c>
      <c r="B35" s="14">
        <v>111</v>
      </c>
      <c r="C35" s="14">
        <v>45.802999999999656</v>
      </c>
      <c r="D35" s="14">
        <v>380</v>
      </c>
      <c r="E35" s="14">
        <v>1310.7930000000051</v>
      </c>
      <c r="F35" s="14">
        <v>28</v>
      </c>
      <c r="G35" s="14">
        <v>9.5230000000010477</v>
      </c>
      <c r="H35" s="14">
        <v>936.46800000008079</v>
      </c>
      <c r="I35" s="14">
        <v>1976.5780000000959</v>
      </c>
      <c r="J35" s="14">
        <v>235</v>
      </c>
      <c r="K35" s="14">
        <v>370.34</v>
      </c>
      <c r="L35" s="14">
        <v>24137.281000000075</v>
      </c>
      <c r="M35" s="16">
        <v>27851.31799999997</v>
      </c>
      <c r="N35" s="4"/>
    </row>
    <row r="36" spans="1:14" s="8" customFormat="1" ht="11.25" customHeight="1" x14ac:dyDescent="0.15">
      <c r="A36" s="84" t="s">
        <v>27</v>
      </c>
      <c r="B36" s="22">
        <v>3186</v>
      </c>
      <c r="C36" s="22">
        <v>1723.731</v>
      </c>
      <c r="D36" s="22">
        <v>32369</v>
      </c>
      <c r="E36" s="22">
        <v>34275.673000000003</v>
      </c>
      <c r="F36" s="22">
        <v>18690</v>
      </c>
      <c r="G36" s="22">
        <v>11855.172</v>
      </c>
      <c r="H36" s="22">
        <v>228033.79800000001</v>
      </c>
      <c r="I36" s="22">
        <v>393876.13</v>
      </c>
      <c r="J36" s="22">
        <v>13802</v>
      </c>
      <c r="K36" s="22">
        <v>17635.096000000001</v>
      </c>
      <c r="L36" s="22">
        <v>370597.55800000002</v>
      </c>
      <c r="M36" s="22">
        <v>829964.36</v>
      </c>
      <c r="N36" s="3"/>
    </row>
    <row r="37" spans="1:14" s="8" customFormat="1" ht="11.25" customHeight="1" x14ac:dyDescent="0.15">
      <c r="A37" s="24"/>
      <c r="B37" s="16"/>
      <c r="C37" s="16"/>
      <c r="D37" s="16"/>
      <c r="E37" s="16"/>
      <c r="F37" s="16"/>
      <c r="G37" s="16"/>
      <c r="H37" s="16"/>
      <c r="I37" s="16"/>
      <c r="J37" s="16"/>
      <c r="K37" s="16"/>
      <c r="L37" s="16"/>
      <c r="M37" s="16"/>
      <c r="N37" s="3"/>
    </row>
    <row r="38" spans="1:14" s="5" customFormat="1" ht="12.75" customHeight="1" x14ac:dyDescent="0.2">
      <c r="A38" s="79" t="s">
        <v>48</v>
      </c>
    </row>
    <row r="39" spans="1:14" s="5" customFormat="1" ht="12.75" customHeight="1" x14ac:dyDescent="0.2">
      <c r="A39" s="80" t="s">
        <v>49</v>
      </c>
    </row>
    <row r="40" spans="1:14" s="5" customFormat="1" ht="12.75" customHeight="1" x14ac:dyDescent="0.2">
      <c r="A40" s="80"/>
    </row>
    <row r="41" spans="1:14" s="5" customFormat="1" ht="12.75" customHeight="1" x14ac:dyDescent="0.2">
      <c r="A41" s="3" t="s">
        <v>37</v>
      </c>
    </row>
    <row r="42" spans="1:14" s="5" customFormat="1" ht="12.75" customHeight="1" x14ac:dyDescent="0.2">
      <c r="A42" s="4" t="s">
        <v>54</v>
      </c>
    </row>
    <row r="43" spans="1:14" s="5" customFormat="1" ht="12.75" customHeight="1" x14ac:dyDescent="0.2">
      <c r="A43" s="4" t="s">
        <v>55</v>
      </c>
    </row>
    <row r="44" spans="1:14" s="5" customFormat="1" ht="12.75" customHeight="1" x14ac:dyDescent="0.2">
      <c r="A44" s="4" t="s">
        <v>56</v>
      </c>
    </row>
    <row r="45" spans="1:14" s="5" customFormat="1" ht="12.75" customHeight="1" x14ac:dyDescent="0.2">
      <c r="A45" s="4" t="s">
        <v>67</v>
      </c>
    </row>
    <row r="46" spans="1:14" s="5" customFormat="1" ht="12.75" customHeight="1" x14ac:dyDescent="0.2">
      <c r="A46" s="4" t="s">
        <v>68</v>
      </c>
    </row>
    <row r="47" spans="1:14" s="5" customFormat="1" ht="12.75" customHeight="1" x14ac:dyDescent="0.2">
      <c r="A47" s="4" t="s">
        <v>72</v>
      </c>
    </row>
    <row r="48" spans="1:14" s="5" customFormat="1" ht="12.75" customHeight="1" x14ac:dyDescent="0.2">
      <c r="A48" s="4" t="s">
        <v>73</v>
      </c>
    </row>
    <row r="49" spans="1:1" s="5" customFormat="1" ht="12.75" customHeight="1" x14ac:dyDescent="0.2">
      <c r="A49" s="4" t="s">
        <v>74</v>
      </c>
    </row>
    <row r="50" spans="1:1" ht="12.75" customHeight="1" x14ac:dyDescent="0.2"/>
    <row r="51" spans="1:1" ht="12.75" customHeight="1" x14ac:dyDescent="0.2">
      <c r="A51" s="3" t="s">
        <v>50</v>
      </c>
    </row>
    <row r="52" spans="1:1" ht="12.75" customHeight="1" x14ac:dyDescent="0.2">
      <c r="A52" s="81" t="s">
        <v>51</v>
      </c>
    </row>
    <row r="53" spans="1:1" ht="11.25" customHeight="1" x14ac:dyDescent="0.2"/>
    <row r="54" spans="1:1" ht="11.25" customHeight="1" x14ac:dyDescent="0.2"/>
    <row r="55" spans="1:1" ht="11.25" customHeight="1" x14ac:dyDescent="0.2"/>
    <row r="56" spans="1:1" ht="11.25" customHeight="1" x14ac:dyDescent="0.2"/>
    <row r="57" spans="1:1" ht="11.25" customHeight="1" x14ac:dyDescent="0.2"/>
    <row r="58" spans="1:1" ht="11.25" customHeight="1" x14ac:dyDescent="0.2"/>
    <row r="59" spans="1:1" ht="11.25" customHeight="1" x14ac:dyDescent="0.2"/>
    <row r="60" spans="1:1" ht="11.25" customHeight="1" x14ac:dyDescent="0.2"/>
  </sheetData>
  <mergeCells count="6">
    <mergeCell ref="H3:I3"/>
    <mergeCell ref="J3:K3"/>
    <mergeCell ref="A3:A5"/>
    <mergeCell ref="B3:C3"/>
    <mergeCell ref="D3:E3"/>
    <mergeCell ref="F3:G3"/>
  </mergeCells>
  <phoneticPr fontId="2" type="noConversion"/>
  <pageMargins left="0.75" right="0.75" top="1" bottom="1" header="0.5" footer="0.5"/>
  <pageSetup paperSize="9"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61"/>
  <sheetViews>
    <sheetView workbookViewId="0"/>
  </sheetViews>
  <sheetFormatPr defaultRowHeight="12.75" x14ac:dyDescent="0.2"/>
  <cols>
    <col min="1" max="1" width="20" style="82" customWidth="1"/>
    <col min="2" max="11" width="8.7109375" style="1" customWidth="1"/>
    <col min="12" max="13" width="11.7109375" style="1" customWidth="1"/>
    <col min="14" max="14" width="9.7109375" style="1" customWidth="1"/>
    <col min="15" max="16384" width="9.140625" style="1"/>
  </cols>
  <sheetData>
    <row r="1" spans="1:14" s="2" customFormat="1" ht="17.25" customHeight="1" x14ac:dyDescent="0.25">
      <c r="A1" s="76" t="s">
        <v>85</v>
      </c>
    </row>
    <row r="2" spans="1:14" s="2" customFormat="1" ht="11.25" customHeight="1" x14ac:dyDescent="0.25">
      <c r="A2" s="76"/>
    </row>
    <row r="3" spans="1:14" s="77" customFormat="1" ht="25.5" customHeight="1" x14ac:dyDescent="0.2">
      <c r="A3" s="175" t="s">
        <v>38</v>
      </c>
      <c r="B3" s="170" t="s">
        <v>36</v>
      </c>
      <c r="C3" s="170"/>
      <c r="D3" s="173" t="s">
        <v>65</v>
      </c>
      <c r="E3" s="173"/>
      <c r="F3" s="170" t="s">
        <v>35</v>
      </c>
      <c r="G3" s="170"/>
      <c r="H3" s="173" t="s">
        <v>66</v>
      </c>
      <c r="I3" s="173"/>
      <c r="J3" s="170" t="s">
        <v>70</v>
      </c>
      <c r="K3" s="170"/>
      <c r="L3" s="90" t="s">
        <v>71</v>
      </c>
      <c r="M3" s="90" t="s">
        <v>34</v>
      </c>
    </row>
    <row r="4" spans="1:14" s="77" customFormat="1" ht="10.5" x14ac:dyDescent="0.2">
      <c r="A4" s="175"/>
      <c r="B4" s="89" t="s">
        <v>59</v>
      </c>
      <c r="C4" s="89" t="s">
        <v>57</v>
      </c>
      <c r="D4" s="90" t="s">
        <v>69</v>
      </c>
      <c r="E4" s="90" t="s">
        <v>57</v>
      </c>
      <c r="F4" s="89" t="s">
        <v>58</v>
      </c>
      <c r="G4" s="89" t="s">
        <v>57</v>
      </c>
      <c r="H4" s="90" t="s">
        <v>58</v>
      </c>
      <c r="I4" s="90" t="s">
        <v>57</v>
      </c>
      <c r="J4" s="89" t="s">
        <v>58</v>
      </c>
      <c r="K4" s="89" t="s">
        <v>57</v>
      </c>
      <c r="L4" s="90" t="s">
        <v>57</v>
      </c>
      <c r="M4" s="90" t="s">
        <v>57</v>
      </c>
    </row>
    <row r="5" spans="1:14" s="31" customFormat="1" ht="12.75" customHeight="1" x14ac:dyDescent="0.2">
      <c r="A5" s="176"/>
      <c r="B5" s="88" t="s">
        <v>60</v>
      </c>
      <c r="C5" s="88" t="s">
        <v>61</v>
      </c>
      <c r="D5" s="88" t="s">
        <v>62</v>
      </c>
      <c r="E5" s="88" t="s">
        <v>61</v>
      </c>
      <c r="F5" s="88" t="s">
        <v>63</v>
      </c>
      <c r="G5" s="88" t="s">
        <v>61</v>
      </c>
      <c r="H5" s="88" t="s">
        <v>63</v>
      </c>
      <c r="I5" s="88" t="s">
        <v>61</v>
      </c>
      <c r="J5" s="88" t="s">
        <v>64</v>
      </c>
      <c r="K5" s="88" t="s">
        <v>61</v>
      </c>
      <c r="L5" s="88" t="s">
        <v>61</v>
      </c>
      <c r="M5" s="88" t="s">
        <v>61</v>
      </c>
    </row>
    <row r="6" spans="1:14" s="5" customFormat="1" ht="11.25" customHeight="1" x14ac:dyDescent="0.2">
      <c r="A6" s="38" t="s">
        <v>0</v>
      </c>
      <c r="B6" s="14">
        <v>1039</v>
      </c>
      <c r="C6" s="14">
        <v>711.09100000000001</v>
      </c>
      <c r="D6" s="14">
        <v>3933</v>
      </c>
      <c r="E6" s="14">
        <v>3726.232</v>
      </c>
      <c r="F6" s="15" t="s">
        <v>28</v>
      </c>
      <c r="G6" s="15" t="s">
        <v>28</v>
      </c>
      <c r="H6" s="14">
        <v>13839.395</v>
      </c>
      <c r="I6" s="14">
        <v>36665.061000000002</v>
      </c>
      <c r="J6" s="14">
        <v>7054</v>
      </c>
      <c r="K6" s="14">
        <v>7627.058</v>
      </c>
      <c r="L6" s="14">
        <v>149534.56899999999</v>
      </c>
      <c r="M6" s="55">
        <v>198264.01099999994</v>
      </c>
      <c r="N6" s="10"/>
    </row>
    <row r="7" spans="1:14" s="5" customFormat="1" ht="11.25" customHeight="1" x14ac:dyDescent="0.2">
      <c r="A7" s="38" t="s">
        <v>1</v>
      </c>
      <c r="B7" s="15" t="s">
        <v>28</v>
      </c>
      <c r="C7" s="15" t="s">
        <v>28</v>
      </c>
      <c r="D7" s="15" t="s">
        <v>28</v>
      </c>
      <c r="E7" s="15" t="s">
        <v>28</v>
      </c>
      <c r="F7" s="15" t="s">
        <v>28</v>
      </c>
      <c r="G7" s="15" t="s">
        <v>28</v>
      </c>
      <c r="H7" s="14">
        <v>957.38900000000001</v>
      </c>
      <c r="I7" s="14">
        <v>2106.1550000000002</v>
      </c>
      <c r="J7" s="15">
        <v>2</v>
      </c>
      <c r="K7" s="15">
        <v>4.3949999999999996</v>
      </c>
      <c r="L7" s="14">
        <v>148.05600000000001</v>
      </c>
      <c r="M7" s="55">
        <v>2257.6060000000002</v>
      </c>
      <c r="N7" s="10"/>
    </row>
    <row r="8" spans="1:14" s="5" customFormat="1" ht="11.25" customHeight="1" x14ac:dyDescent="0.2">
      <c r="A8" s="38" t="s">
        <v>2</v>
      </c>
      <c r="B8" s="15" t="s">
        <v>28</v>
      </c>
      <c r="C8" s="15"/>
      <c r="D8" s="15">
        <v>16</v>
      </c>
      <c r="E8" s="15">
        <v>25.788</v>
      </c>
      <c r="F8" s="15" t="s">
        <v>28</v>
      </c>
      <c r="G8" s="15" t="s">
        <v>28</v>
      </c>
      <c r="H8" s="14">
        <v>624.14099999999996</v>
      </c>
      <c r="I8" s="14">
        <v>2186.154</v>
      </c>
      <c r="J8" s="15" t="s">
        <v>28</v>
      </c>
      <c r="K8" s="15" t="s">
        <v>28</v>
      </c>
      <c r="L8" s="14">
        <v>312.44</v>
      </c>
      <c r="M8" s="55">
        <v>2524.3820000000001</v>
      </c>
      <c r="N8" s="10"/>
    </row>
    <row r="9" spans="1:14" s="5" customFormat="1" ht="11.25" customHeight="1" x14ac:dyDescent="0.2">
      <c r="A9" s="38" t="s">
        <v>3</v>
      </c>
      <c r="B9" s="15" t="s">
        <v>28</v>
      </c>
      <c r="C9" s="15" t="s">
        <v>28</v>
      </c>
      <c r="D9" s="15">
        <v>25</v>
      </c>
      <c r="E9" s="15">
        <v>55.183999999999997</v>
      </c>
      <c r="F9" s="15" t="s">
        <v>28</v>
      </c>
      <c r="G9" s="15" t="s">
        <v>28</v>
      </c>
      <c r="H9" s="14">
        <v>3187.0169999999998</v>
      </c>
      <c r="I9" s="14">
        <v>6208.3379999999997</v>
      </c>
      <c r="J9" s="14">
        <v>81</v>
      </c>
      <c r="K9" s="14">
        <v>84.69</v>
      </c>
      <c r="L9" s="14">
        <v>10627.457</v>
      </c>
      <c r="M9" s="55">
        <v>16974.669000000002</v>
      </c>
      <c r="N9" s="10"/>
    </row>
    <row r="10" spans="1:14" s="5" customFormat="1" ht="11.25" customHeight="1" x14ac:dyDescent="0.2">
      <c r="A10" s="38" t="s">
        <v>29</v>
      </c>
      <c r="B10" s="15">
        <v>54</v>
      </c>
      <c r="C10" s="14">
        <v>16.524999999999999</v>
      </c>
      <c r="D10" s="14">
        <v>99</v>
      </c>
      <c r="E10" s="14">
        <v>61.567999999999998</v>
      </c>
      <c r="F10" s="15" t="s">
        <v>28</v>
      </c>
      <c r="G10" s="15" t="s">
        <v>28</v>
      </c>
      <c r="H10" s="14">
        <v>7267.7330000000002</v>
      </c>
      <c r="I10" s="14">
        <v>24999.453000000001</v>
      </c>
      <c r="J10" s="14">
        <v>80</v>
      </c>
      <c r="K10" s="14">
        <v>45.000999999999998</v>
      </c>
      <c r="L10" s="14">
        <v>9810.9789999999994</v>
      </c>
      <c r="M10" s="55">
        <v>34933.526000000005</v>
      </c>
      <c r="N10" s="10"/>
    </row>
    <row r="11" spans="1:14" s="5" customFormat="1" ht="11.25" customHeight="1" x14ac:dyDescent="0.2">
      <c r="A11" s="38" t="s">
        <v>4</v>
      </c>
      <c r="B11" s="14">
        <v>87</v>
      </c>
      <c r="C11" s="14">
        <v>111.089</v>
      </c>
      <c r="D11" s="14">
        <v>21884</v>
      </c>
      <c r="E11" s="14">
        <v>22228.324000000001</v>
      </c>
      <c r="F11" s="15" t="s">
        <v>28</v>
      </c>
      <c r="G11" s="15" t="s">
        <v>28</v>
      </c>
      <c r="H11" s="14">
        <v>1418.771</v>
      </c>
      <c r="I11" s="14">
        <v>4365.2560000000003</v>
      </c>
      <c r="J11" s="14">
        <v>910</v>
      </c>
      <c r="K11" s="14">
        <v>1687.7940000000001</v>
      </c>
      <c r="L11" s="14">
        <v>6500.5540000000001</v>
      </c>
      <c r="M11" s="55">
        <v>34893.017</v>
      </c>
      <c r="N11" s="10"/>
    </row>
    <row r="12" spans="1:14" s="5" customFormat="1" ht="11.25" customHeight="1" x14ac:dyDescent="0.2">
      <c r="A12" s="38" t="s">
        <v>6</v>
      </c>
      <c r="B12" s="15">
        <v>23</v>
      </c>
      <c r="C12" s="15">
        <v>24.757000000000001</v>
      </c>
      <c r="D12" s="14">
        <v>6713</v>
      </c>
      <c r="E12" s="14">
        <v>2917.402</v>
      </c>
      <c r="F12" s="15" t="s">
        <v>28</v>
      </c>
      <c r="G12" s="15" t="s">
        <v>28</v>
      </c>
      <c r="H12" s="19" t="s">
        <v>28</v>
      </c>
      <c r="I12" s="15" t="s">
        <v>28</v>
      </c>
      <c r="J12" s="14">
        <v>3002</v>
      </c>
      <c r="K12" s="14">
        <v>1527.7819999999999</v>
      </c>
      <c r="L12" s="14">
        <v>1009.2430000000001</v>
      </c>
      <c r="M12" s="55">
        <v>5479.1839999999993</v>
      </c>
      <c r="N12" s="10"/>
    </row>
    <row r="13" spans="1:14" s="5" customFormat="1" ht="11.25" customHeight="1" x14ac:dyDescent="0.2">
      <c r="A13" s="38" t="s">
        <v>7</v>
      </c>
      <c r="B13" s="15" t="s">
        <v>28</v>
      </c>
      <c r="C13" s="15" t="s">
        <v>28</v>
      </c>
      <c r="D13" s="15">
        <v>43</v>
      </c>
      <c r="E13" s="15">
        <v>48.518000000000001</v>
      </c>
      <c r="F13" s="15" t="s">
        <v>28</v>
      </c>
      <c r="G13" s="15" t="s">
        <v>28</v>
      </c>
      <c r="H13" s="14">
        <v>22130.906999999999</v>
      </c>
      <c r="I13" s="14">
        <v>46536.124000000003</v>
      </c>
      <c r="J13" s="15" t="s">
        <v>28</v>
      </c>
      <c r="K13" s="19" t="s">
        <v>28</v>
      </c>
      <c r="L13" s="14">
        <v>388.767</v>
      </c>
      <c r="M13" s="55">
        <v>46974.409</v>
      </c>
      <c r="N13" s="10"/>
    </row>
    <row r="14" spans="1:14" s="5" customFormat="1" ht="11.25" customHeight="1" x14ac:dyDescent="0.2">
      <c r="A14" s="38" t="s">
        <v>8</v>
      </c>
      <c r="B14" s="15" t="s">
        <v>28</v>
      </c>
      <c r="C14" s="15" t="s">
        <v>28</v>
      </c>
      <c r="D14" s="15">
        <v>2</v>
      </c>
      <c r="E14" s="15" t="s">
        <v>28</v>
      </c>
      <c r="F14" s="15" t="s">
        <v>28</v>
      </c>
      <c r="G14" s="19" t="s">
        <v>28</v>
      </c>
      <c r="H14" s="14">
        <v>912.50599999999997</v>
      </c>
      <c r="I14" s="14">
        <v>3795.33</v>
      </c>
      <c r="J14" s="15">
        <v>23</v>
      </c>
      <c r="K14" s="15">
        <v>36.840000000000003</v>
      </c>
      <c r="L14" s="14">
        <v>12993.402</v>
      </c>
      <c r="M14" s="55">
        <v>16824.572</v>
      </c>
      <c r="N14" s="10"/>
    </row>
    <row r="15" spans="1:14" s="5" customFormat="1" ht="11.25" customHeight="1" x14ac:dyDescent="0.2">
      <c r="A15" s="41" t="s">
        <v>9</v>
      </c>
      <c r="B15" s="15" t="s">
        <v>28</v>
      </c>
      <c r="C15" s="15" t="s">
        <v>28</v>
      </c>
      <c r="D15" s="15">
        <v>211</v>
      </c>
      <c r="E15" s="15">
        <v>25.154</v>
      </c>
      <c r="F15" s="15">
        <v>18</v>
      </c>
      <c r="G15" s="15">
        <v>47.119</v>
      </c>
      <c r="H15" s="14">
        <v>16775.917000000001</v>
      </c>
      <c r="I15" s="14">
        <v>40541.358999999997</v>
      </c>
      <c r="J15" s="14">
        <v>24</v>
      </c>
      <c r="K15" s="14">
        <v>622.64599999999996</v>
      </c>
      <c r="L15" s="14">
        <v>8597.0280000000002</v>
      </c>
      <c r="M15" s="55">
        <v>49833.305999999997</v>
      </c>
      <c r="N15" s="10"/>
    </row>
    <row r="16" spans="1:14" s="5" customFormat="1" ht="11.25" customHeight="1" x14ac:dyDescent="0.2">
      <c r="A16" s="38" t="s">
        <v>41</v>
      </c>
      <c r="B16" s="15" t="s">
        <v>28</v>
      </c>
      <c r="C16" s="15" t="s">
        <v>28</v>
      </c>
      <c r="D16" s="15" t="s">
        <v>28</v>
      </c>
      <c r="E16" s="15" t="s">
        <v>28</v>
      </c>
      <c r="F16" s="15" t="s">
        <v>28</v>
      </c>
      <c r="G16" s="15" t="s">
        <v>28</v>
      </c>
      <c r="H16" s="14">
        <v>10.57</v>
      </c>
      <c r="I16" s="14">
        <v>41.72</v>
      </c>
      <c r="J16" s="15" t="s">
        <v>28</v>
      </c>
      <c r="K16" s="15" t="s">
        <v>28</v>
      </c>
      <c r="L16" s="14">
        <v>2427.66</v>
      </c>
      <c r="M16" s="55">
        <v>2470.38</v>
      </c>
      <c r="N16" s="10"/>
    </row>
    <row r="17" spans="1:14" s="5" customFormat="1" ht="11.25" customHeight="1" x14ac:dyDescent="0.2">
      <c r="A17" s="38" t="s">
        <v>11</v>
      </c>
      <c r="B17" s="15">
        <v>3</v>
      </c>
      <c r="C17" s="15">
        <v>5.4809999999999999</v>
      </c>
      <c r="D17" s="14">
        <v>190</v>
      </c>
      <c r="E17" s="14">
        <v>279.82</v>
      </c>
      <c r="F17" s="15">
        <v>2415</v>
      </c>
      <c r="G17" s="15">
        <v>1476.47</v>
      </c>
      <c r="H17" s="14">
        <v>6352.2969999999996</v>
      </c>
      <c r="I17" s="14">
        <v>10968.944</v>
      </c>
      <c r="J17" s="14">
        <v>774</v>
      </c>
      <c r="K17" s="14">
        <v>939.16300000000001</v>
      </c>
      <c r="L17" s="14">
        <v>24636.814999999999</v>
      </c>
      <c r="M17" s="55">
        <v>38305.692999999999</v>
      </c>
      <c r="N17" s="10"/>
    </row>
    <row r="18" spans="1:14" s="5" customFormat="1" ht="11.25" customHeight="1" x14ac:dyDescent="0.2">
      <c r="A18" s="38" t="s">
        <v>12</v>
      </c>
      <c r="B18" s="15" t="s">
        <v>28</v>
      </c>
      <c r="C18" s="15" t="s">
        <v>28</v>
      </c>
      <c r="D18" s="15">
        <v>41</v>
      </c>
      <c r="E18" s="15">
        <v>62.612000000000002</v>
      </c>
      <c r="F18" s="15" t="s">
        <v>28</v>
      </c>
      <c r="G18" s="15" t="s">
        <v>28</v>
      </c>
      <c r="H18" s="14">
        <v>11949.637000000001</v>
      </c>
      <c r="I18" s="14">
        <v>24678.235000000001</v>
      </c>
      <c r="J18" s="15">
        <v>2</v>
      </c>
      <c r="K18" s="15">
        <v>15.756</v>
      </c>
      <c r="L18" s="14">
        <v>10756.1</v>
      </c>
      <c r="M18" s="55">
        <v>35512.703000000001</v>
      </c>
      <c r="N18" s="10"/>
    </row>
    <row r="19" spans="1:14" s="5" customFormat="1" ht="11.25" customHeight="1" x14ac:dyDescent="0.2">
      <c r="A19" s="38" t="s">
        <v>13</v>
      </c>
      <c r="B19" s="15" t="s">
        <v>28</v>
      </c>
      <c r="C19" s="15">
        <v>0.52500000000000002</v>
      </c>
      <c r="D19" s="15" t="s">
        <v>28</v>
      </c>
      <c r="E19" s="15" t="s">
        <v>28</v>
      </c>
      <c r="F19" s="15" t="s">
        <v>28</v>
      </c>
      <c r="G19" s="15" t="s">
        <v>28</v>
      </c>
      <c r="H19" s="14">
        <v>10080.663</v>
      </c>
      <c r="I19" s="14">
        <v>28173.182000000001</v>
      </c>
      <c r="J19" s="15" t="s">
        <v>28</v>
      </c>
      <c r="K19" s="15" t="s">
        <v>28</v>
      </c>
      <c r="L19" s="14">
        <v>5680.0659999999998</v>
      </c>
      <c r="M19" s="55">
        <v>33853.773000000001</v>
      </c>
      <c r="N19" s="10"/>
    </row>
    <row r="20" spans="1:14" s="5" customFormat="1" ht="11.25" customHeight="1" x14ac:dyDescent="0.2">
      <c r="A20" s="41" t="s">
        <v>42</v>
      </c>
      <c r="B20" s="15" t="s">
        <v>28</v>
      </c>
      <c r="C20" s="19" t="s">
        <v>28</v>
      </c>
      <c r="D20" s="15" t="s">
        <v>28</v>
      </c>
      <c r="E20" s="15" t="s">
        <v>28</v>
      </c>
      <c r="F20" s="15" t="s">
        <v>28</v>
      </c>
      <c r="G20" s="15" t="s">
        <v>28</v>
      </c>
      <c r="H20" s="14">
        <v>2348.0120000000002</v>
      </c>
      <c r="I20" s="14">
        <v>4609.4830000000002</v>
      </c>
      <c r="J20" s="15" t="s">
        <v>28</v>
      </c>
      <c r="K20" s="15" t="s">
        <v>28</v>
      </c>
      <c r="L20" s="14">
        <v>3383.9639999999999</v>
      </c>
      <c r="M20" s="55">
        <v>7993.4470000000001</v>
      </c>
      <c r="N20" s="10"/>
    </row>
    <row r="21" spans="1:14" s="5" customFormat="1" ht="11.25" customHeight="1" x14ac:dyDescent="0.2">
      <c r="A21" s="38" t="s">
        <v>14</v>
      </c>
      <c r="B21" s="15" t="s">
        <v>28</v>
      </c>
      <c r="C21" s="19" t="s">
        <v>28</v>
      </c>
      <c r="D21" s="14">
        <v>315</v>
      </c>
      <c r="E21" s="14">
        <v>345.62200000000001</v>
      </c>
      <c r="F21" s="15" t="s">
        <v>28</v>
      </c>
      <c r="G21" s="15" t="s">
        <v>28</v>
      </c>
      <c r="H21" s="14">
        <v>872.39599999999996</v>
      </c>
      <c r="I21" s="14">
        <v>2530.1759999999999</v>
      </c>
      <c r="J21" s="14">
        <v>587</v>
      </c>
      <c r="K21" s="14">
        <v>782.95799999999997</v>
      </c>
      <c r="L21" s="14">
        <v>14915.088</v>
      </c>
      <c r="M21" s="55">
        <v>18573.844000000001</v>
      </c>
      <c r="N21" s="10"/>
    </row>
    <row r="22" spans="1:14" s="5" customFormat="1" ht="11.25" customHeight="1" x14ac:dyDescent="0.2">
      <c r="A22" s="38" t="s">
        <v>16</v>
      </c>
      <c r="B22" s="15" t="s">
        <v>28</v>
      </c>
      <c r="C22" s="15" t="s">
        <v>28</v>
      </c>
      <c r="D22" s="15">
        <v>6</v>
      </c>
      <c r="E22" s="15">
        <v>6.7140000000000004</v>
      </c>
      <c r="F22" s="15" t="s">
        <v>28</v>
      </c>
      <c r="G22" s="15" t="s">
        <v>28</v>
      </c>
      <c r="H22" s="14">
        <v>2619.04</v>
      </c>
      <c r="I22" s="14">
        <v>5433.2659999999996</v>
      </c>
      <c r="J22" s="14">
        <v>137</v>
      </c>
      <c r="K22" s="14">
        <v>722.49199999999996</v>
      </c>
      <c r="L22" s="14">
        <v>7136.2479999999996</v>
      </c>
      <c r="M22" s="55">
        <v>13297.72</v>
      </c>
      <c r="N22" s="10"/>
    </row>
    <row r="23" spans="1:14" s="5" customFormat="1" ht="11.25" customHeight="1" x14ac:dyDescent="0.2">
      <c r="A23" s="38" t="s">
        <v>17</v>
      </c>
      <c r="B23" s="15" t="s">
        <v>28</v>
      </c>
      <c r="C23" s="15" t="s">
        <v>28</v>
      </c>
      <c r="D23" s="15" t="s">
        <v>28</v>
      </c>
      <c r="E23" s="15" t="s">
        <v>28</v>
      </c>
      <c r="F23" s="15" t="s">
        <v>28</v>
      </c>
      <c r="G23" s="15" t="s">
        <v>28</v>
      </c>
      <c r="H23" s="14">
        <v>1517.6110000000001</v>
      </c>
      <c r="I23" s="14">
        <v>2572.4720000000002</v>
      </c>
      <c r="J23" s="15" t="s">
        <v>28</v>
      </c>
      <c r="K23" s="15">
        <v>2.097</v>
      </c>
      <c r="L23" s="14">
        <v>582.41099999999994</v>
      </c>
      <c r="M23" s="55">
        <v>3155.98</v>
      </c>
      <c r="N23" s="10"/>
    </row>
    <row r="24" spans="1:14" s="5" customFormat="1" ht="11.25" customHeight="1" x14ac:dyDescent="0.2">
      <c r="A24" s="38" t="s">
        <v>18</v>
      </c>
      <c r="B24" s="15">
        <v>128</v>
      </c>
      <c r="C24" s="15">
        <v>128.172</v>
      </c>
      <c r="D24" s="14">
        <v>904</v>
      </c>
      <c r="E24" s="14">
        <v>781.48900000000003</v>
      </c>
      <c r="F24" s="15" t="s">
        <v>28</v>
      </c>
      <c r="G24" s="15" t="s">
        <v>28</v>
      </c>
      <c r="H24" s="15" t="s">
        <v>28</v>
      </c>
      <c r="I24" s="15" t="s">
        <v>28</v>
      </c>
      <c r="J24" s="14">
        <v>1</v>
      </c>
      <c r="K24" s="14">
        <v>8.3810000000000002</v>
      </c>
      <c r="L24" s="14">
        <v>22.562000000000001</v>
      </c>
      <c r="M24" s="55">
        <v>939.60400000000004</v>
      </c>
      <c r="N24" s="10"/>
    </row>
    <row r="25" spans="1:14" s="5" customFormat="1" ht="11.25" customHeight="1" x14ac:dyDescent="0.2">
      <c r="A25" s="38" t="s">
        <v>19</v>
      </c>
      <c r="B25" s="15" t="s">
        <v>28</v>
      </c>
      <c r="C25" s="15" t="s">
        <v>28</v>
      </c>
      <c r="D25" s="15" t="s">
        <v>28</v>
      </c>
      <c r="E25" s="15" t="s">
        <v>28</v>
      </c>
      <c r="F25" s="15" t="s">
        <v>28</v>
      </c>
      <c r="G25" s="15" t="s">
        <v>28</v>
      </c>
      <c r="H25" s="15" t="s">
        <v>28</v>
      </c>
      <c r="I25" s="15">
        <v>10.237</v>
      </c>
      <c r="J25" s="14">
        <v>2</v>
      </c>
      <c r="K25" s="14">
        <v>11.622</v>
      </c>
      <c r="L25" s="14">
        <v>1452.597</v>
      </c>
      <c r="M25" s="55">
        <v>1475.4560000000001</v>
      </c>
      <c r="N25" s="10"/>
    </row>
    <row r="26" spans="1:14" s="5" customFormat="1" ht="11.25" customHeight="1" x14ac:dyDescent="0.2">
      <c r="A26" s="38" t="s">
        <v>20</v>
      </c>
      <c r="B26" s="15" t="s">
        <v>28</v>
      </c>
      <c r="C26" s="15" t="s">
        <v>28</v>
      </c>
      <c r="D26" s="15" t="s">
        <v>28</v>
      </c>
      <c r="E26" s="15" t="s">
        <v>28</v>
      </c>
      <c r="F26" s="15" t="s">
        <v>28</v>
      </c>
      <c r="G26" s="15" t="s">
        <v>28</v>
      </c>
      <c r="H26" s="15" t="s">
        <v>28</v>
      </c>
      <c r="I26" s="15" t="s">
        <v>28</v>
      </c>
      <c r="J26" s="15" t="s">
        <v>28</v>
      </c>
      <c r="K26" s="15" t="s">
        <v>28</v>
      </c>
      <c r="L26" s="14">
        <v>9893.9580000000005</v>
      </c>
      <c r="M26" s="55">
        <v>9893.9580000000005</v>
      </c>
      <c r="N26" s="10"/>
    </row>
    <row r="27" spans="1:14" s="5" customFormat="1" ht="11.25" customHeight="1" x14ac:dyDescent="0.2">
      <c r="A27" s="38" t="s">
        <v>21</v>
      </c>
      <c r="B27" s="15" t="s">
        <v>28</v>
      </c>
      <c r="C27" s="15" t="s">
        <v>28</v>
      </c>
      <c r="D27" s="14">
        <v>73</v>
      </c>
      <c r="E27" s="14">
        <v>200.62700000000001</v>
      </c>
      <c r="F27" s="15" t="s">
        <v>28</v>
      </c>
      <c r="G27" s="15" t="s">
        <v>28</v>
      </c>
      <c r="H27" s="14">
        <v>464.36799999999999</v>
      </c>
      <c r="I27" s="14">
        <v>2525.239</v>
      </c>
      <c r="J27" s="14">
        <v>454</v>
      </c>
      <c r="K27" s="14">
        <v>697.44899999999996</v>
      </c>
      <c r="L27" s="14">
        <v>4117.7539999999999</v>
      </c>
      <c r="M27" s="55">
        <v>7541.0689999999995</v>
      </c>
      <c r="N27" s="10"/>
    </row>
    <row r="28" spans="1:14" s="5" customFormat="1" ht="11.25" customHeight="1" x14ac:dyDescent="0.2">
      <c r="A28" s="38" t="s">
        <v>30</v>
      </c>
      <c r="B28" s="15" t="s">
        <v>28</v>
      </c>
      <c r="C28" s="15" t="s">
        <v>28</v>
      </c>
      <c r="D28" s="14">
        <v>754</v>
      </c>
      <c r="E28" s="14">
        <v>575.08399999999995</v>
      </c>
      <c r="F28" s="15" t="s">
        <v>28</v>
      </c>
      <c r="G28" s="15" t="s">
        <v>28</v>
      </c>
      <c r="H28" s="15" t="s">
        <v>28</v>
      </c>
      <c r="I28" s="15" t="s">
        <v>28</v>
      </c>
      <c r="J28" s="15" t="s">
        <v>28</v>
      </c>
      <c r="K28" s="15" t="s">
        <v>28</v>
      </c>
      <c r="L28" s="15">
        <v>118.416</v>
      </c>
      <c r="M28" s="55">
        <v>692.5</v>
      </c>
      <c r="N28" s="10"/>
    </row>
    <row r="29" spans="1:14" s="5" customFormat="1" ht="11.25" customHeight="1" x14ac:dyDescent="0.2">
      <c r="A29" s="38" t="s">
        <v>22</v>
      </c>
      <c r="B29" s="15" t="s">
        <v>28</v>
      </c>
      <c r="C29" s="15" t="s">
        <v>28</v>
      </c>
      <c r="D29" s="15" t="s">
        <v>28</v>
      </c>
      <c r="E29" s="15" t="s">
        <v>28</v>
      </c>
      <c r="F29" s="15">
        <v>2268</v>
      </c>
      <c r="G29" s="15">
        <v>3380.509</v>
      </c>
      <c r="H29" s="15">
        <v>5572.5969999999998</v>
      </c>
      <c r="I29" s="15">
        <v>9859.393</v>
      </c>
      <c r="J29" s="15" t="s">
        <v>28</v>
      </c>
      <c r="K29" s="15" t="s">
        <v>28</v>
      </c>
      <c r="L29" s="15">
        <v>1520.6790000000001</v>
      </c>
      <c r="M29" s="55">
        <v>14760.581</v>
      </c>
      <c r="N29" s="10"/>
    </row>
    <row r="30" spans="1:14" s="5" customFormat="1" ht="11.25" customHeight="1" x14ac:dyDescent="0.2">
      <c r="A30" s="38" t="s">
        <v>24</v>
      </c>
      <c r="B30" s="15" t="s">
        <v>28</v>
      </c>
      <c r="C30" s="15" t="s">
        <v>28</v>
      </c>
      <c r="D30" s="15" t="s">
        <v>28</v>
      </c>
      <c r="E30" s="15" t="s">
        <v>28</v>
      </c>
      <c r="F30" s="15" t="s">
        <v>28</v>
      </c>
      <c r="G30" s="15" t="s">
        <v>28</v>
      </c>
      <c r="H30" s="14">
        <v>8929.2849999999999</v>
      </c>
      <c r="I30" s="14">
        <v>19130.690999999999</v>
      </c>
      <c r="J30" s="15">
        <v>2</v>
      </c>
      <c r="K30" s="15">
        <v>485.80500000000001</v>
      </c>
      <c r="L30" s="14">
        <v>1813.559</v>
      </c>
      <c r="M30" s="55">
        <v>21431.055</v>
      </c>
      <c r="N30" s="10"/>
    </row>
    <row r="31" spans="1:14" s="5" customFormat="1" ht="11.25" customHeight="1" x14ac:dyDescent="0.2">
      <c r="A31" s="38" t="s">
        <v>25</v>
      </c>
      <c r="B31" s="15" t="s">
        <v>28</v>
      </c>
      <c r="C31" s="15" t="s">
        <v>28</v>
      </c>
      <c r="D31" s="15" t="s">
        <v>28</v>
      </c>
      <c r="E31" s="15" t="s">
        <v>28</v>
      </c>
      <c r="F31" s="15" t="s">
        <v>28</v>
      </c>
      <c r="G31" s="15" t="s">
        <v>28</v>
      </c>
      <c r="H31" s="14">
        <v>215.37799999999999</v>
      </c>
      <c r="I31" s="14">
        <v>701.952</v>
      </c>
      <c r="J31" s="15" t="s">
        <v>28</v>
      </c>
      <c r="K31" s="15" t="s">
        <v>28</v>
      </c>
      <c r="L31" s="14">
        <v>144.98099999999999</v>
      </c>
      <c r="M31" s="55">
        <v>846.93299999999999</v>
      </c>
      <c r="N31" s="10"/>
    </row>
    <row r="32" spans="1:14" s="5" customFormat="1" ht="11.25" customHeight="1" x14ac:dyDescent="0.2">
      <c r="A32" s="41" t="s">
        <v>31</v>
      </c>
      <c r="B32" s="15" t="s">
        <v>28</v>
      </c>
      <c r="C32" s="15" t="s">
        <v>28</v>
      </c>
      <c r="D32" s="15" t="s">
        <v>28</v>
      </c>
      <c r="E32" s="15" t="s">
        <v>28</v>
      </c>
      <c r="F32" s="15" t="s">
        <v>28</v>
      </c>
      <c r="G32" s="15" t="s">
        <v>28</v>
      </c>
      <c r="H32" s="14">
        <v>271.23200000000003</v>
      </c>
      <c r="I32" s="14">
        <v>587.92100000000005</v>
      </c>
      <c r="J32" s="14">
        <v>23</v>
      </c>
      <c r="K32" s="14">
        <v>35.076000000000001</v>
      </c>
      <c r="L32" s="14">
        <v>4506.7920000000004</v>
      </c>
      <c r="M32" s="55">
        <v>5129.7890000000007</v>
      </c>
      <c r="N32" s="10"/>
    </row>
    <row r="33" spans="1:14" s="5" customFormat="1" ht="11.25" customHeight="1" x14ac:dyDescent="0.2">
      <c r="A33" s="38" t="s">
        <v>26</v>
      </c>
      <c r="B33" s="15" t="s">
        <v>28</v>
      </c>
      <c r="C33" s="15" t="s">
        <v>28</v>
      </c>
      <c r="D33" s="15" t="s">
        <v>28</v>
      </c>
      <c r="E33" s="15" t="s">
        <v>28</v>
      </c>
      <c r="F33" s="15" t="s">
        <v>28</v>
      </c>
      <c r="G33" s="15" t="s">
        <v>28</v>
      </c>
      <c r="H33" s="15">
        <v>20.41</v>
      </c>
      <c r="I33" s="15">
        <v>80.718000000000004</v>
      </c>
      <c r="J33" s="14">
        <v>5</v>
      </c>
      <c r="K33" s="14">
        <v>14.74</v>
      </c>
      <c r="L33" s="14">
        <v>3369.107</v>
      </c>
      <c r="M33" s="55">
        <v>3464.5649999999996</v>
      </c>
      <c r="N33" s="10"/>
    </row>
    <row r="34" spans="1:14" s="5" customFormat="1" ht="11.25" customHeight="1" x14ac:dyDescent="0.2">
      <c r="A34" s="38" t="s">
        <v>45</v>
      </c>
      <c r="B34" s="14">
        <v>103</v>
      </c>
      <c r="C34" s="14">
        <v>93.869</v>
      </c>
      <c r="D34" s="14">
        <v>1691</v>
      </c>
      <c r="E34" s="14">
        <v>2147.9430000000002</v>
      </c>
      <c r="F34" s="14">
        <v>10585</v>
      </c>
      <c r="G34" s="14">
        <v>12737.714</v>
      </c>
      <c r="H34" s="14">
        <v>42037.409</v>
      </c>
      <c r="I34" s="14">
        <v>75805.971999999994</v>
      </c>
      <c r="J34" s="14">
        <v>1033</v>
      </c>
      <c r="K34" s="14">
        <v>1410.72</v>
      </c>
      <c r="L34" s="14">
        <v>34662.819000000003</v>
      </c>
      <c r="M34" s="55">
        <v>126860.03700000001</v>
      </c>
      <c r="N34" s="10"/>
    </row>
    <row r="35" spans="1:14" s="5" customFormat="1" ht="11.25" customHeight="1" x14ac:dyDescent="0.2">
      <c r="A35" s="4" t="s">
        <v>75</v>
      </c>
      <c r="B35" s="14">
        <v>155</v>
      </c>
      <c r="C35" s="14">
        <v>155.035</v>
      </c>
      <c r="D35" s="14">
        <v>1137</v>
      </c>
      <c r="E35" s="14">
        <v>1505.4120000000039</v>
      </c>
      <c r="F35" s="14">
        <v>13</v>
      </c>
      <c r="G35" s="14">
        <v>13.015000000003056</v>
      </c>
      <c r="H35" s="14">
        <v>778.99299999995856</v>
      </c>
      <c r="I35" s="14">
        <v>1862.7090000000317</v>
      </c>
      <c r="J35" s="14">
        <v>339</v>
      </c>
      <c r="K35" s="14">
        <v>521.47399999999834</v>
      </c>
      <c r="L35" s="14">
        <v>18578.060999999871</v>
      </c>
      <c r="M35" s="55">
        <v>22634.706000000122</v>
      </c>
      <c r="N35" s="10"/>
    </row>
    <row r="36" spans="1:14" s="8" customFormat="1" ht="11.25" customHeight="1" x14ac:dyDescent="0.2">
      <c r="A36" s="84" t="s">
        <v>27</v>
      </c>
      <c r="B36" s="22">
        <v>1592</v>
      </c>
      <c r="C36" s="22">
        <v>1246.5440000000001</v>
      </c>
      <c r="D36" s="22">
        <v>38037</v>
      </c>
      <c r="E36" s="22">
        <v>34994.493000000002</v>
      </c>
      <c r="F36" s="22">
        <v>15299</v>
      </c>
      <c r="G36" s="22">
        <v>17654.827000000001</v>
      </c>
      <c r="H36" s="22">
        <v>161152.674</v>
      </c>
      <c r="I36" s="22">
        <v>356971.54</v>
      </c>
      <c r="J36" s="22">
        <v>14535</v>
      </c>
      <c r="K36" s="22">
        <v>17283.938999999998</v>
      </c>
      <c r="L36" s="22">
        <v>349643.13199999998</v>
      </c>
      <c r="M36" s="56">
        <v>777795.47499999998</v>
      </c>
      <c r="N36" s="26"/>
    </row>
    <row r="37" spans="1:14" s="8" customFormat="1" ht="11.25" customHeight="1" x14ac:dyDescent="0.2">
      <c r="A37" s="24"/>
      <c r="B37" s="16"/>
      <c r="C37" s="16"/>
      <c r="D37" s="16"/>
      <c r="E37" s="16"/>
      <c r="F37" s="16"/>
      <c r="G37" s="16"/>
      <c r="H37" s="16"/>
      <c r="I37" s="16"/>
      <c r="J37" s="16"/>
      <c r="K37" s="16"/>
      <c r="L37" s="16"/>
      <c r="M37" s="55"/>
      <c r="N37" s="26"/>
    </row>
    <row r="38" spans="1:14" s="5" customFormat="1" ht="12.75" customHeight="1" x14ac:dyDescent="0.2">
      <c r="A38" s="79" t="s">
        <v>48</v>
      </c>
    </row>
    <row r="39" spans="1:14" s="5" customFormat="1" ht="12.75" customHeight="1" x14ac:dyDescent="0.2">
      <c r="A39" s="80" t="s">
        <v>49</v>
      </c>
    </row>
    <row r="40" spans="1:14" s="5" customFormat="1" ht="12.75" customHeight="1" x14ac:dyDescent="0.2">
      <c r="A40" s="80"/>
    </row>
    <row r="41" spans="1:14" s="5" customFormat="1" ht="12.75" customHeight="1" x14ac:dyDescent="0.2">
      <c r="A41" s="3" t="s">
        <v>37</v>
      </c>
    </row>
    <row r="42" spans="1:14" s="5" customFormat="1" ht="12.75" customHeight="1" x14ac:dyDescent="0.2">
      <c r="A42" s="4" t="s">
        <v>54</v>
      </c>
    </row>
    <row r="43" spans="1:14" s="5" customFormat="1" ht="12.75" customHeight="1" x14ac:dyDescent="0.2">
      <c r="A43" s="4" t="s">
        <v>55</v>
      </c>
    </row>
    <row r="44" spans="1:14" s="5" customFormat="1" ht="12.75" customHeight="1" x14ac:dyDescent="0.2">
      <c r="A44" s="4" t="s">
        <v>56</v>
      </c>
    </row>
    <row r="45" spans="1:14" s="5" customFormat="1" ht="12.75" customHeight="1" x14ac:dyDescent="0.2">
      <c r="A45" s="4" t="s">
        <v>67</v>
      </c>
    </row>
    <row r="46" spans="1:14" s="5" customFormat="1" ht="12.75" customHeight="1" x14ac:dyDescent="0.2">
      <c r="A46" s="4" t="s">
        <v>68</v>
      </c>
    </row>
    <row r="47" spans="1:14" s="5" customFormat="1" ht="12.75" customHeight="1" x14ac:dyDescent="0.2">
      <c r="A47" s="4" t="s">
        <v>72</v>
      </c>
    </row>
    <row r="48" spans="1:14" s="5" customFormat="1" ht="12.75" customHeight="1" x14ac:dyDescent="0.2">
      <c r="A48" s="4" t="s">
        <v>73</v>
      </c>
    </row>
    <row r="49" spans="1:1" s="5" customFormat="1" ht="12.75" customHeight="1" x14ac:dyDescent="0.2">
      <c r="A49" s="4" t="s">
        <v>74</v>
      </c>
    </row>
    <row r="50" spans="1:1" ht="12.75" customHeight="1" x14ac:dyDescent="0.2"/>
    <row r="51" spans="1:1" ht="12.75" customHeight="1" x14ac:dyDescent="0.2">
      <c r="A51" s="3" t="s">
        <v>50</v>
      </c>
    </row>
    <row r="52" spans="1:1" ht="12.75" customHeight="1" x14ac:dyDescent="0.2">
      <c r="A52" s="81" t="s">
        <v>51</v>
      </c>
    </row>
    <row r="53" spans="1:1" ht="11.25" customHeight="1" x14ac:dyDescent="0.2"/>
    <row r="54" spans="1:1" ht="11.25" customHeight="1" x14ac:dyDescent="0.2"/>
    <row r="55" spans="1:1" ht="11.25" customHeight="1" x14ac:dyDescent="0.2"/>
    <row r="56" spans="1:1" ht="11.25" customHeight="1" x14ac:dyDescent="0.2"/>
    <row r="57" spans="1:1" ht="11.25" customHeight="1" x14ac:dyDescent="0.2"/>
    <row r="58" spans="1:1" ht="11.25" customHeight="1" x14ac:dyDescent="0.2"/>
    <row r="59" spans="1:1" ht="11.25" customHeight="1" x14ac:dyDescent="0.2"/>
    <row r="60" spans="1:1" ht="11.25" customHeight="1" x14ac:dyDescent="0.2"/>
    <row r="61" spans="1:1" ht="11.25" customHeight="1" x14ac:dyDescent="0.2"/>
  </sheetData>
  <mergeCells count="6">
    <mergeCell ref="H3:I3"/>
    <mergeCell ref="J3:K3"/>
    <mergeCell ref="A3:A5"/>
    <mergeCell ref="B3:C3"/>
    <mergeCell ref="D3:E3"/>
    <mergeCell ref="F3:G3"/>
  </mergeCells>
  <phoneticPr fontId="2" type="noConversion"/>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65"/>
  <sheetViews>
    <sheetView workbookViewId="0"/>
  </sheetViews>
  <sheetFormatPr defaultRowHeight="12.75" x14ac:dyDescent="0.2"/>
  <cols>
    <col min="1" max="1" width="30.7109375" customWidth="1"/>
    <col min="2" max="11" width="9.7109375" customWidth="1"/>
    <col min="12" max="14" width="13.7109375" customWidth="1"/>
  </cols>
  <sheetData>
    <row r="1" spans="1:32" ht="16.5" x14ac:dyDescent="0.2">
      <c r="A1" s="76" t="s">
        <v>239</v>
      </c>
    </row>
    <row r="3" spans="1:32" ht="21" x14ac:dyDescent="0.2">
      <c r="A3" s="163" t="s">
        <v>38</v>
      </c>
      <c r="B3" s="165" t="s">
        <v>36</v>
      </c>
      <c r="C3" s="165"/>
      <c r="D3" s="166" t="s">
        <v>90</v>
      </c>
      <c r="E3" s="167"/>
      <c r="F3" s="165" t="s">
        <v>35</v>
      </c>
      <c r="G3" s="165"/>
      <c r="H3" s="165" t="s">
        <v>91</v>
      </c>
      <c r="I3" s="165"/>
      <c r="J3" s="162" t="s">
        <v>70</v>
      </c>
      <c r="K3" s="162"/>
      <c r="L3" s="106" t="s">
        <v>92</v>
      </c>
      <c r="M3" s="106" t="s">
        <v>71</v>
      </c>
      <c r="N3" s="140" t="s">
        <v>34</v>
      </c>
    </row>
    <row r="4" spans="1:32" x14ac:dyDescent="0.2">
      <c r="A4" s="163"/>
      <c r="B4" s="108" t="s">
        <v>59</v>
      </c>
      <c r="C4" s="108" t="s">
        <v>57</v>
      </c>
      <c r="D4" s="141" t="s">
        <v>69</v>
      </c>
      <c r="E4" s="141" t="s">
        <v>57</v>
      </c>
      <c r="F4" s="108" t="s">
        <v>58</v>
      </c>
      <c r="G4" s="108" t="s">
        <v>57</v>
      </c>
      <c r="H4" s="108" t="s">
        <v>58</v>
      </c>
      <c r="I4" s="108" t="s">
        <v>57</v>
      </c>
      <c r="J4" s="141" t="s">
        <v>58</v>
      </c>
      <c r="K4" s="141" t="s">
        <v>57</v>
      </c>
      <c r="L4" s="108" t="s">
        <v>57</v>
      </c>
      <c r="M4" s="108" t="s">
        <v>57</v>
      </c>
      <c r="N4" s="141" t="s">
        <v>57</v>
      </c>
    </row>
    <row r="5" spans="1:32" x14ac:dyDescent="0.2">
      <c r="A5" s="164"/>
      <c r="B5" s="109" t="s">
        <v>60</v>
      </c>
      <c r="C5" s="109" t="s">
        <v>61</v>
      </c>
      <c r="D5" s="142" t="s">
        <v>62</v>
      </c>
      <c r="E5" s="142" t="s">
        <v>61</v>
      </c>
      <c r="F5" s="109" t="s">
        <v>63</v>
      </c>
      <c r="G5" s="109" t="s">
        <v>61</v>
      </c>
      <c r="H5" s="109" t="s">
        <v>63</v>
      </c>
      <c r="I5" s="109" t="s">
        <v>61</v>
      </c>
      <c r="J5" s="142" t="s">
        <v>64</v>
      </c>
      <c r="K5" s="142" t="s">
        <v>61</v>
      </c>
      <c r="L5" s="109" t="s">
        <v>61</v>
      </c>
      <c r="M5" s="109" t="s">
        <v>61</v>
      </c>
      <c r="N5" s="142" t="s">
        <v>61</v>
      </c>
    </row>
    <row r="6" spans="1:32" x14ac:dyDescent="0.2">
      <c r="A6" s="151" t="s">
        <v>0</v>
      </c>
      <c r="B6" s="110">
        <v>1636.5409999999999</v>
      </c>
      <c r="C6" s="110">
        <v>1585.44</v>
      </c>
      <c r="D6" s="110">
        <v>6850.5402000000004</v>
      </c>
      <c r="E6" s="110">
        <v>6649.6080000000002</v>
      </c>
      <c r="F6" s="110" t="s">
        <v>28</v>
      </c>
      <c r="G6" s="110" t="s">
        <v>28</v>
      </c>
      <c r="H6" s="110">
        <v>219255.996965</v>
      </c>
      <c r="I6" s="110">
        <v>231817.277</v>
      </c>
      <c r="J6" s="110">
        <v>10313.2461</v>
      </c>
      <c r="K6" s="110">
        <v>3535.6280000000002</v>
      </c>
      <c r="L6" s="110">
        <v>11060.204</v>
      </c>
      <c r="M6" s="110">
        <v>136776.29800000001</v>
      </c>
      <c r="N6" s="138">
        <v>391424.45500000002</v>
      </c>
      <c r="O6" s="136"/>
      <c r="P6" s="136"/>
      <c r="Q6" s="136"/>
      <c r="R6" s="136"/>
      <c r="S6" s="136"/>
      <c r="T6" s="136"/>
      <c r="U6" s="136"/>
      <c r="V6" s="136"/>
      <c r="W6" s="136"/>
      <c r="X6" s="136"/>
      <c r="Y6" s="136"/>
      <c r="Z6" s="136"/>
      <c r="AA6" s="136"/>
      <c r="AB6" s="136"/>
      <c r="AC6" s="136"/>
      <c r="AD6" s="136"/>
      <c r="AE6" s="136"/>
      <c r="AF6" s="136"/>
    </row>
    <row r="7" spans="1:32" x14ac:dyDescent="0.2">
      <c r="A7" s="151" t="s">
        <v>2</v>
      </c>
      <c r="B7" s="110" t="s">
        <v>28</v>
      </c>
      <c r="C7" s="110" t="s">
        <v>28</v>
      </c>
      <c r="D7" s="110">
        <v>76.048000000000002</v>
      </c>
      <c r="E7" s="110">
        <v>53.924999999999997</v>
      </c>
      <c r="F7" s="110" t="s">
        <v>28</v>
      </c>
      <c r="G7" s="110" t="s">
        <v>28</v>
      </c>
      <c r="H7" s="110">
        <v>761.63923899999998</v>
      </c>
      <c r="I7" s="110">
        <v>2038.953</v>
      </c>
      <c r="J7" s="110">
        <v>3886.8519999999999</v>
      </c>
      <c r="K7" s="110">
        <v>2892.5650000000001</v>
      </c>
      <c r="L7" s="110">
        <v>481.66699999999997</v>
      </c>
      <c r="M7" s="110">
        <v>9569.15</v>
      </c>
      <c r="N7" s="138">
        <v>15036.259999999998</v>
      </c>
      <c r="O7" s="136"/>
      <c r="P7" s="136"/>
      <c r="Q7" s="136"/>
      <c r="R7" s="136"/>
      <c r="S7" s="136"/>
      <c r="T7" s="136"/>
      <c r="U7" s="136"/>
      <c r="V7" s="136"/>
      <c r="W7" s="136"/>
      <c r="X7" s="136"/>
      <c r="Y7" s="136"/>
      <c r="Z7" s="136"/>
      <c r="AA7" s="136"/>
      <c r="AB7" s="136"/>
      <c r="AC7" s="136"/>
      <c r="AD7" s="136"/>
      <c r="AE7" s="136"/>
      <c r="AF7" s="136"/>
    </row>
    <row r="8" spans="1:32" x14ac:dyDescent="0.2">
      <c r="A8" s="151" t="s">
        <v>229</v>
      </c>
      <c r="B8" s="110" t="s">
        <v>28</v>
      </c>
      <c r="C8" s="110" t="s">
        <v>28</v>
      </c>
      <c r="D8" s="110">
        <v>210.07</v>
      </c>
      <c r="E8" s="110">
        <v>424.23899999999998</v>
      </c>
      <c r="F8" s="110" t="s">
        <v>28</v>
      </c>
      <c r="G8" s="110" t="s">
        <v>28</v>
      </c>
      <c r="H8" s="110" t="s">
        <v>28</v>
      </c>
      <c r="I8" s="110" t="s">
        <v>28</v>
      </c>
      <c r="J8" s="110" t="s">
        <v>28</v>
      </c>
      <c r="K8" s="110" t="s">
        <v>28</v>
      </c>
      <c r="L8" s="110" t="s">
        <v>28</v>
      </c>
      <c r="M8" s="110">
        <v>944.86</v>
      </c>
      <c r="N8" s="138">
        <v>1369.0989999999999</v>
      </c>
      <c r="O8" s="136"/>
      <c r="P8" s="136"/>
      <c r="Q8" s="136"/>
      <c r="R8" s="136"/>
      <c r="S8" s="136"/>
      <c r="T8" s="136"/>
      <c r="U8" s="136"/>
      <c r="V8" s="136"/>
      <c r="W8" s="136"/>
      <c r="X8" s="136"/>
      <c r="Y8" s="136"/>
      <c r="Z8" s="136"/>
      <c r="AA8" s="136"/>
      <c r="AB8" s="136"/>
      <c r="AC8" s="136"/>
      <c r="AD8" s="136"/>
      <c r="AE8" s="136"/>
      <c r="AF8" s="136"/>
    </row>
    <row r="9" spans="1:32" x14ac:dyDescent="0.2">
      <c r="A9" s="151" t="s">
        <v>3</v>
      </c>
      <c r="B9" s="110" t="s">
        <v>28</v>
      </c>
      <c r="C9" s="110" t="s">
        <v>28</v>
      </c>
      <c r="D9" s="110" t="s">
        <v>28</v>
      </c>
      <c r="E9" s="110" t="s">
        <v>28</v>
      </c>
      <c r="F9" s="110">
        <v>2730.2379999999998</v>
      </c>
      <c r="G9" s="110">
        <v>2611.471</v>
      </c>
      <c r="H9" s="110">
        <v>3171.7743330000003</v>
      </c>
      <c r="I9" s="110">
        <v>4140.8590000000004</v>
      </c>
      <c r="J9" s="110">
        <v>73.45</v>
      </c>
      <c r="K9" s="110">
        <v>55.268000000000001</v>
      </c>
      <c r="L9" s="110" t="s">
        <v>28</v>
      </c>
      <c r="M9" s="110">
        <v>950.56700000000001</v>
      </c>
      <c r="N9" s="138">
        <v>7758.1650000000009</v>
      </c>
      <c r="O9" s="136"/>
      <c r="P9" s="136"/>
      <c r="Q9" s="136"/>
      <c r="R9" s="136"/>
      <c r="S9" s="136"/>
      <c r="T9" s="136"/>
      <c r="U9" s="136"/>
      <c r="V9" s="136"/>
      <c r="W9" s="136"/>
      <c r="X9" s="136"/>
      <c r="Y9" s="136"/>
      <c r="Z9" s="136"/>
      <c r="AA9" s="136"/>
      <c r="AB9" s="136"/>
      <c r="AC9" s="136"/>
      <c r="AD9" s="136"/>
      <c r="AE9" s="136"/>
      <c r="AF9" s="136"/>
    </row>
    <row r="10" spans="1:32" x14ac:dyDescent="0.2">
      <c r="A10" s="151" t="s">
        <v>4</v>
      </c>
      <c r="B10" s="110">
        <v>81.375</v>
      </c>
      <c r="C10" s="110">
        <v>33.523000000000003</v>
      </c>
      <c r="D10" s="110">
        <v>30151.492999999999</v>
      </c>
      <c r="E10" s="110">
        <v>49594.646999999997</v>
      </c>
      <c r="F10" s="110">
        <v>5730.6760000000004</v>
      </c>
      <c r="G10" s="110">
        <v>4603.9629999999997</v>
      </c>
      <c r="H10" s="110">
        <v>3164.1836330000001</v>
      </c>
      <c r="I10" s="110">
        <v>5879.6459999999997</v>
      </c>
      <c r="J10" s="110">
        <v>182.02979999999999</v>
      </c>
      <c r="K10" s="110">
        <v>236.90199999999999</v>
      </c>
      <c r="L10" s="110">
        <v>89.200999999999993</v>
      </c>
      <c r="M10" s="110">
        <v>3564.6570000000002</v>
      </c>
      <c r="N10" s="138">
        <v>64002.538999999997</v>
      </c>
      <c r="O10" s="136"/>
      <c r="P10" s="136"/>
      <c r="Q10" s="136"/>
      <c r="R10" s="136"/>
      <c r="S10" s="136"/>
      <c r="T10" s="136"/>
      <c r="U10" s="136"/>
      <c r="V10" s="136"/>
      <c r="W10" s="136"/>
      <c r="X10" s="136"/>
      <c r="Y10" s="136"/>
      <c r="Z10" s="136"/>
      <c r="AA10" s="136"/>
      <c r="AB10" s="136"/>
      <c r="AC10" s="136"/>
      <c r="AD10" s="136"/>
      <c r="AE10" s="136"/>
      <c r="AF10" s="136"/>
    </row>
    <row r="11" spans="1:32" x14ac:dyDescent="0.2">
      <c r="A11" s="151" t="s">
        <v>32</v>
      </c>
      <c r="B11" s="110" t="s">
        <v>28</v>
      </c>
      <c r="C11" s="110" t="s">
        <v>28</v>
      </c>
      <c r="D11" s="110">
        <v>4047.4789999999998</v>
      </c>
      <c r="E11" s="110">
        <v>2600.759</v>
      </c>
      <c r="F11" s="110">
        <v>36422.281000000003</v>
      </c>
      <c r="G11" s="110">
        <v>33112.642999999996</v>
      </c>
      <c r="H11" s="110">
        <v>20.201000000000001</v>
      </c>
      <c r="I11" s="110">
        <v>28.882000000000001</v>
      </c>
      <c r="J11" s="110">
        <v>18291.623599999999</v>
      </c>
      <c r="K11" s="110">
        <v>14157.674999999999</v>
      </c>
      <c r="L11" s="110">
        <v>7.66</v>
      </c>
      <c r="M11" s="110">
        <v>1480.8140000000001</v>
      </c>
      <c r="N11" s="138">
        <v>51388.432999999997</v>
      </c>
      <c r="O11" s="136"/>
      <c r="P11" s="136"/>
      <c r="Q11" s="136"/>
      <c r="R11" s="136"/>
      <c r="S11" s="136"/>
      <c r="T11" s="136"/>
      <c r="U11" s="136"/>
      <c r="V11" s="136"/>
      <c r="W11" s="136"/>
      <c r="X11" s="136"/>
      <c r="Y11" s="136"/>
      <c r="Z11" s="136"/>
      <c r="AA11" s="136"/>
      <c r="AB11" s="136"/>
      <c r="AC11" s="136"/>
      <c r="AD11" s="136"/>
      <c r="AE11" s="136"/>
      <c r="AF11" s="136"/>
    </row>
    <row r="12" spans="1:32" x14ac:dyDescent="0.2">
      <c r="A12" s="151" t="s">
        <v>110</v>
      </c>
      <c r="B12" s="110">
        <v>24</v>
      </c>
      <c r="C12" s="110">
        <v>2.3E-2</v>
      </c>
      <c r="D12" s="110">
        <v>5043.6638000000003</v>
      </c>
      <c r="E12" s="110">
        <v>523.35699999999997</v>
      </c>
      <c r="F12" s="110">
        <v>2E-3</v>
      </c>
      <c r="G12" s="110">
        <v>0.33300000000000002</v>
      </c>
      <c r="H12" s="110">
        <v>37265.169847999998</v>
      </c>
      <c r="I12" s="110">
        <v>72444.899999999994</v>
      </c>
      <c r="J12" s="110">
        <v>55002.0936</v>
      </c>
      <c r="K12" s="110">
        <v>21864.357</v>
      </c>
      <c r="L12" s="110">
        <v>217082.17300000001</v>
      </c>
      <c r="M12" s="110">
        <v>142143.74900000001</v>
      </c>
      <c r="N12" s="138">
        <v>454058.89199999999</v>
      </c>
      <c r="O12" s="136"/>
      <c r="P12" s="136"/>
      <c r="Q12" s="136"/>
      <c r="R12" s="136"/>
      <c r="S12" s="136"/>
      <c r="T12" s="136"/>
      <c r="U12" s="136"/>
      <c r="V12" s="136"/>
      <c r="W12" s="136"/>
      <c r="X12" s="136"/>
      <c r="Y12" s="136"/>
      <c r="Z12" s="136"/>
      <c r="AA12" s="136"/>
      <c r="AB12" s="136"/>
      <c r="AC12" s="136"/>
      <c r="AD12" s="136"/>
      <c r="AE12" s="136"/>
      <c r="AF12" s="136"/>
    </row>
    <row r="13" spans="1:32" x14ac:dyDescent="0.2">
      <c r="A13" s="151" t="s">
        <v>230</v>
      </c>
      <c r="B13" s="110" t="s">
        <v>28</v>
      </c>
      <c r="C13" s="110" t="s">
        <v>28</v>
      </c>
      <c r="D13" s="110" t="s">
        <v>28</v>
      </c>
      <c r="E13" s="110" t="s">
        <v>28</v>
      </c>
      <c r="F13" s="110" t="s">
        <v>28</v>
      </c>
      <c r="G13" s="110" t="s">
        <v>28</v>
      </c>
      <c r="H13" s="110">
        <v>654.87274000000002</v>
      </c>
      <c r="I13" s="110">
        <v>1154.2629999999999</v>
      </c>
      <c r="J13" s="110" t="s">
        <v>28</v>
      </c>
      <c r="K13" s="110" t="s">
        <v>28</v>
      </c>
      <c r="L13" s="110">
        <v>141.727</v>
      </c>
      <c r="M13" s="110">
        <v>2232.578</v>
      </c>
      <c r="N13" s="138">
        <v>3528.5679999999998</v>
      </c>
      <c r="O13" s="136"/>
      <c r="P13" s="136"/>
      <c r="Q13" s="136"/>
      <c r="R13" s="136"/>
      <c r="S13" s="136"/>
      <c r="T13" s="136"/>
      <c r="U13" s="136"/>
      <c r="V13" s="136"/>
      <c r="W13" s="136"/>
      <c r="X13" s="136"/>
      <c r="Y13" s="136"/>
      <c r="Z13" s="136"/>
      <c r="AA13" s="136"/>
      <c r="AB13" s="136"/>
      <c r="AC13" s="136"/>
      <c r="AD13" s="136"/>
      <c r="AE13" s="136"/>
      <c r="AF13" s="136"/>
    </row>
    <row r="14" spans="1:32" x14ac:dyDescent="0.2">
      <c r="A14" s="151" t="s">
        <v>5</v>
      </c>
      <c r="B14" s="110" t="s">
        <v>28</v>
      </c>
      <c r="C14" s="110" t="s">
        <v>28</v>
      </c>
      <c r="D14" s="110" t="s">
        <v>28</v>
      </c>
      <c r="E14" s="110" t="s">
        <v>28</v>
      </c>
      <c r="F14" s="110" t="s">
        <v>28</v>
      </c>
      <c r="G14" s="110" t="s">
        <v>28</v>
      </c>
      <c r="H14" s="110">
        <v>6.7157399999999994</v>
      </c>
      <c r="I14" s="110">
        <v>89.033000000000001</v>
      </c>
      <c r="J14" s="110" t="s">
        <v>28</v>
      </c>
      <c r="K14" s="110" t="s">
        <v>28</v>
      </c>
      <c r="L14" s="110">
        <v>1533.877</v>
      </c>
      <c r="M14" s="110">
        <v>5843.6369999999997</v>
      </c>
      <c r="N14" s="138">
        <v>7466.5469999999996</v>
      </c>
      <c r="O14" s="136"/>
      <c r="P14" s="136"/>
      <c r="Q14" s="136"/>
      <c r="R14" s="136"/>
      <c r="S14" s="136"/>
      <c r="T14" s="136"/>
      <c r="U14" s="136"/>
      <c r="V14" s="136"/>
      <c r="W14" s="136"/>
      <c r="X14" s="136"/>
      <c r="Y14" s="136"/>
      <c r="Z14" s="136"/>
      <c r="AA14" s="136"/>
      <c r="AB14" s="136"/>
      <c r="AC14" s="136"/>
      <c r="AD14" s="136"/>
      <c r="AE14" s="136"/>
      <c r="AF14" s="136"/>
    </row>
    <row r="15" spans="1:32" x14ac:dyDescent="0.2">
      <c r="A15" s="151" t="s">
        <v>6</v>
      </c>
      <c r="B15" s="110" t="s">
        <v>28</v>
      </c>
      <c r="C15" s="110" t="s">
        <v>28</v>
      </c>
      <c r="D15" s="110">
        <v>1504.4580000000001</v>
      </c>
      <c r="E15" s="110">
        <v>2160.663</v>
      </c>
      <c r="F15" s="110" t="s">
        <v>28</v>
      </c>
      <c r="G15" s="110" t="s">
        <v>28</v>
      </c>
      <c r="H15" s="110">
        <v>0.64900000000000002</v>
      </c>
      <c r="I15" s="110">
        <v>4.3259999999999996</v>
      </c>
      <c r="J15" s="110">
        <v>217.69900000000001</v>
      </c>
      <c r="K15" s="110">
        <v>422.44</v>
      </c>
      <c r="L15" s="110">
        <v>80.346999999999994</v>
      </c>
      <c r="M15" s="110">
        <v>385.41800000000001</v>
      </c>
      <c r="N15" s="138">
        <v>3053.194</v>
      </c>
      <c r="O15" s="136"/>
      <c r="P15" s="136"/>
      <c r="Q15" s="136"/>
      <c r="R15" s="136"/>
      <c r="S15" s="136"/>
      <c r="T15" s="136"/>
      <c r="U15" s="136"/>
      <c r="V15" s="136"/>
      <c r="W15" s="136"/>
      <c r="X15" s="136"/>
      <c r="Y15" s="136"/>
      <c r="Z15" s="136"/>
      <c r="AA15" s="136"/>
      <c r="AB15" s="136"/>
      <c r="AC15" s="136"/>
      <c r="AD15" s="136"/>
      <c r="AE15" s="136"/>
      <c r="AF15" s="136"/>
    </row>
    <row r="16" spans="1:32" x14ac:dyDescent="0.2">
      <c r="A16" s="151" t="s">
        <v>7</v>
      </c>
      <c r="B16" s="110" t="s">
        <v>28</v>
      </c>
      <c r="C16" s="110" t="s">
        <v>28</v>
      </c>
      <c r="D16" s="110">
        <v>43.673999999999999</v>
      </c>
      <c r="E16" s="110">
        <v>28.471</v>
      </c>
      <c r="F16" s="110" t="s">
        <v>28</v>
      </c>
      <c r="G16" s="110" t="s">
        <v>28</v>
      </c>
      <c r="H16" s="110">
        <v>27522.340034000001</v>
      </c>
      <c r="I16" s="110">
        <v>38674.805999999997</v>
      </c>
      <c r="J16" s="110">
        <v>2691.4529000000002</v>
      </c>
      <c r="K16" s="110">
        <v>946.03099999999995</v>
      </c>
      <c r="L16" s="110">
        <v>38.375</v>
      </c>
      <c r="M16" s="110">
        <v>2951.4769999999999</v>
      </c>
      <c r="N16" s="138">
        <v>42639.159999999996</v>
      </c>
      <c r="O16" s="136"/>
      <c r="P16" s="136"/>
      <c r="Q16" s="136"/>
      <c r="R16" s="136"/>
      <c r="S16" s="136"/>
      <c r="T16" s="136"/>
      <c r="U16" s="136"/>
      <c r="V16" s="136"/>
      <c r="W16" s="136"/>
      <c r="X16" s="136"/>
      <c r="Y16" s="136"/>
      <c r="Z16" s="136"/>
      <c r="AA16" s="136"/>
      <c r="AB16" s="136"/>
      <c r="AC16" s="136"/>
      <c r="AD16" s="136"/>
      <c r="AE16" s="136"/>
      <c r="AF16" s="136"/>
    </row>
    <row r="17" spans="1:32" x14ac:dyDescent="0.2">
      <c r="A17" s="151" t="s">
        <v>8</v>
      </c>
      <c r="B17" s="110" t="s">
        <v>28</v>
      </c>
      <c r="C17" s="110" t="s">
        <v>28</v>
      </c>
      <c r="D17" s="110">
        <v>330.12</v>
      </c>
      <c r="E17" s="110">
        <v>573.75599999999997</v>
      </c>
      <c r="F17" s="110" t="s">
        <v>28</v>
      </c>
      <c r="G17" s="110" t="s">
        <v>28</v>
      </c>
      <c r="H17" s="110">
        <v>1524.562226</v>
      </c>
      <c r="I17" s="110">
        <v>8073.335</v>
      </c>
      <c r="J17" s="110">
        <v>1603.337</v>
      </c>
      <c r="K17" s="110">
        <v>173.41900000000001</v>
      </c>
      <c r="L17" s="110">
        <v>901.68200000000002</v>
      </c>
      <c r="M17" s="110">
        <v>30910.721000000001</v>
      </c>
      <c r="N17" s="138">
        <v>40632.913000000008</v>
      </c>
      <c r="O17" s="136"/>
      <c r="P17" s="136"/>
      <c r="Q17" s="136"/>
      <c r="R17" s="136"/>
      <c r="S17" s="136"/>
      <c r="T17" s="136"/>
      <c r="U17" s="136"/>
      <c r="V17" s="136"/>
      <c r="W17" s="136"/>
      <c r="X17" s="136"/>
      <c r="Y17" s="136"/>
      <c r="Z17" s="136"/>
      <c r="AA17" s="136"/>
      <c r="AB17" s="136"/>
      <c r="AC17" s="136"/>
      <c r="AD17" s="136"/>
      <c r="AE17" s="136"/>
      <c r="AF17" s="136"/>
    </row>
    <row r="18" spans="1:32" x14ac:dyDescent="0.2">
      <c r="A18" s="151" t="s">
        <v>9</v>
      </c>
      <c r="B18" s="110" t="s">
        <v>28</v>
      </c>
      <c r="C18" s="110" t="s">
        <v>28</v>
      </c>
      <c r="D18" s="110">
        <v>7987.2839999999997</v>
      </c>
      <c r="E18" s="110">
        <v>269.70499999999998</v>
      </c>
      <c r="F18" s="110">
        <v>283.39</v>
      </c>
      <c r="G18" s="110">
        <v>422.45699999999999</v>
      </c>
      <c r="H18" s="110">
        <v>6727.3576080000003</v>
      </c>
      <c r="I18" s="110">
        <v>14745.199000000001</v>
      </c>
      <c r="J18" s="110">
        <v>12394.382900000001</v>
      </c>
      <c r="K18" s="110">
        <v>4128.4179999999997</v>
      </c>
      <c r="L18" s="110">
        <v>5406.5119999999997</v>
      </c>
      <c r="M18" s="110">
        <v>22150.309000000001</v>
      </c>
      <c r="N18" s="138">
        <v>47122.600000000006</v>
      </c>
      <c r="O18" s="136"/>
      <c r="P18" s="136"/>
      <c r="Q18" s="136"/>
      <c r="R18" s="136"/>
      <c r="S18" s="136"/>
      <c r="T18" s="136"/>
      <c r="U18" s="136"/>
      <c r="V18" s="136"/>
      <c r="W18" s="136"/>
      <c r="X18" s="136"/>
      <c r="Y18" s="136"/>
      <c r="Z18" s="136"/>
      <c r="AA18" s="136"/>
      <c r="AB18" s="136"/>
      <c r="AC18" s="136"/>
      <c r="AD18" s="136"/>
      <c r="AE18" s="136"/>
      <c r="AF18" s="136"/>
    </row>
    <row r="19" spans="1:32" x14ac:dyDescent="0.2">
      <c r="A19" s="151" t="s">
        <v>231</v>
      </c>
      <c r="B19" s="110">
        <v>34.799999999999997</v>
      </c>
      <c r="C19" s="110">
        <v>72.316000000000003</v>
      </c>
      <c r="D19" s="110">
        <v>1030.7625</v>
      </c>
      <c r="E19" s="110">
        <v>1809.7429999999999</v>
      </c>
      <c r="F19" s="110" t="s">
        <v>28</v>
      </c>
      <c r="G19" s="110" t="s">
        <v>28</v>
      </c>
      <c r="H19" s="110" t="s">
        <v>28</v>
      </c>
      <c r="I19" s="110" t="s">
        <v>28</v>
      </c>
      <c r="J19" s="110" t="s">
        <v>28</v>
      </c>
      <c r="K19" s="110" t="s">
        <v>28</v>
      </c>
      <c r="L19" s="110" t="s">
        <v>28</v>
      </c>
      <c r="M19" s="110">
        <v>83.893000000000001</v>
      </c>
      <c r="N19" s="138">
        <v>1965.952</v>
      </c>
      <c r="O19" s="136"/>
      <c r="P19" s="136"/>
      <c r="Q19" s="136"/>
      <c r="R19" s="136"/>
      <c r="S19" s="136"/>
      <c r="T19" s="136"/>
      <c r="U19" s="136"/>
      <c r="V19" s="136"/>
      <c r="W19" s="136"/>
      <c r="X19" s="136"/>
      <c r="Y19" s="136"/>
      <c r="Z19" s="136"/>
      <c r="AA19" s="136"/>
      <c r="AB19" s="136"/>
      <c r="AC19" s="136"/>
      <c r="AD19" s="136"/>
      <c r="AE19" s="136"/>
      <c r="AF19" s="136"/>
    </row>
    <row r="20" spans="1:32" x14ac:dyDescent="0.2">
      <c r="A20" s="151" t="s">
        <v>109</v>
      </c>
      <c r="B20" s="110" t="s">
        <v>28</v>
      </c>
      <c r="C20" s="110" t="s">
        <v>28</v>
      </c>
      <c r="D20" s="110" t="s">
        <v>28</v>
      </c>
      <c r="E20" s="110" t="s">
        <v>28</v>
      </c>
      <c r="F20" s="110" t="s">
        <v>28</v>
      </c>
      <c r="G20" s="110" t="s">
        <v>28</v>
      </c>
      <c r="H20" s="110">
        <v>92.583339000000009</v>
      </c>
      <c r="I20" s="110">
        <v>240.31800000000001</v>
      </c>
      <c r="J20" s="110">
        <v>19.867000000000001</v>
      </c>
      <c r="K20" s="110">
        <v>45.875</v>
      </c>
      <c r="L20" s="110">
        <v>392.13200000000001</v>
      </c>
      <c r="M20" s="110">
        <v>1554.846</v>
      </c>
      <c r="N20" s="138">
        <v>2233.1710000000003</v>
      </c>
      <c r="O20" s="136"/>
      <c r="P20" s="136"/>
      <c r="Q20" s="136"/>
      <c r="R20" s="136"/>
      <c r="S20" s="136"/>
      <c r="T20" s="136"/>
      <c r="U20" s="136"/>
      <c r="V20" s="136"/>
      <c r="W20" s="136"/>
      <c r="X20" s="136"/>
      <c r="Y20" s="136"/>
      <c r="Z20" s="136"/>
      <c r="AA20" s="136"/>
      <c r="AB20" s="136"/>
      <c r="AC20" s="136"/>
      <c r="AD20" s="136"/>
      <c r="AE20" s="136"/>
      <c r="AF20" s="136"/>
    </row>
    <row r="21" spans="1:32" x14ac:dyDescent="0.2">
      <c r="A21" s="151" t="s">
        <v>232</v>
      </c>
      <c r="B21" s="110" t="s">
        <v>28</v>
      </c>
      <c r="C21" s="110" t="s">
        <v>28</v>
      </c>
      <c r="D21" s="110" t="s">
        <v>28</v>
      </c>
      <c r="E21" s="110" t="s">
        <v>28</v>
      </c>
      <c r="F21" s="110" t="s">
        <v>28</v>
      </c>
      <c r="G21" s="110" t="s">
        <v>28</v>
      </c>
      <c r="H21" s="110">
        <v>1E-3</v>
      </c>
      <c r="I21" s="110">
        <v>8.2000000000000003E-2</v>
      </c>
      <c r="J21" s="110" t="s">
        <v>28</v>
      </c>
      <c r="K21" s="110" t="s">
        <v>28</v>
      </c>
      <c r="L21" s="110">
        <v>7.8620000000000001</v>
      </c>
      <c r="M21" s="110">
        <v>1099.884</v>
      </c>
      <c r="N21" s="138">
        <v>1107.8280000000002</v>
      </c>
      <c r="O21" s="136"/>
      <c r="P21" s="136"/>
      <c r="Q21" s="136"/>
      <c r="R21" s="136"/>
      <c r="S21" s="136"/>
      <c r="T21" s="136"/>
      <c r="U21" s="136"/>
      <c r="V21" s="136"/>
      <c r="W21" s="136"/>
      <c r="X21" s="136"/>
      <c r="Y21" s="136"/>
      <c r="Z21" s="136"/>
      <c r="AA21" s="136"/>
      <c r="AB21" s="136"/>
      <c r="AC21" s="136"/>
      <c r="AD21" s="136"/>
      <c r="AE21" s="136"/>
      <c r="AF21" s="136"/>
    </row>
    <row r="22" spans="1:32" x14ac:dyDescent="0.2">
      <c r="A22" s="151" t="s">
        <v>10</v>
      </c>
      <c r="B22" s="110">
        <v>36.31</v>
      </c>
      <c r="C22" s="110">
        <v>1.427</v>
      </c>
      <c r="D22" s="110" t="s">
        <v>28</v>
      </c>
      <c r="E22" s="110" t="s">
        <v>28</v>
      </c>
      <c r="F22" s="110" t="s">
        <v>28</v>
      </c>
      <c r="G22" s="110" t="s">
        <v>28</v>
      </c>
      <c r="H22" s="110">
        <v>290.35324500000002</v>
      </c>
      <c r="I22" s="110">
        <v>1184.9190000000001</v>
      </c>
      <c r="J22" s="110">
        <v>1</v>
      </c>
      <c r="K22" s="110">
        <v>0.158</v>
      </c>
      <c r="L22" s="110">
        <v>2564.547</v>
      </c>
      <c r="M22" s="110">
        <v>2280.2710000000002</v>
      </c>
      <c r="N22" s="138">
        <v>6031.3220000000001</v>
      </c>
      <c r="O22" s="136"/>
      <c r="P22" s="136"/>
      <c r="Q22" s="136"/>
      <c r="R22" s="136"/>
      <c r="S22" s="136"/>
      <c r="T22" s="136"/>
      <c r="U22" s="136"/>
      <c r="V22" s="136"/>
      <c r="W22" s="136"/>
      <c r="X22" s="136"/>
      <c r="Y22" s="136"/>
      <c r="Z22" s="136"/>
      <c r="AA22" s="136"/>
      <c r="AB22" s="136"/>
      <c r="AC22" s="136"/>
      <c r="AD22" s="136"/>
      <c r="AE22" s="136"/>
      <c r="AF22" s="136"/>
    </row>
    <row r="23" spans="1:32" x14ac:dyDescent="0.2">
      <c r="A23" s="151" t="s">
        <v>11</v>
      </c>
      <c r="B23" s="110">
        <v>19.948</v>
      </c>
      <c r="C23" s="110">
        <v>40.674999999999997</v>
      </c>
      <c r="D23" s="110">
        <v>2857.2240000000002</v>
      </c>
      <c r="E23" s="110">
        <v>6512.2690000000002</v>
      </c>
      <c r="F23" s="110" t="s">
        <v>28</v>
      </c>
      <c r="G23" s="110" t="s">
        <v>28</v>
      </c>
      <c r="H23" s="110">
        <v>23219.31985</v>
      </c>
      <c r="I23" s="110">
        <v>48834.247000000003</v>
      </c>
      <c r="J23" s="110">
        <v>3758.4648000000002</v>
      </c>
      <c r="K23" s="110">
        <v>1270.873</v>
      </c>
      <c r="L23" s="110">
        <v>11727.984</v>
      </c>
      <c r="M23" s="110">
        <v>41453.078999999998</v>
      </c>
      <c r="N23" s="138">
        <v>109839.12699999999</v>
      </c>
      <c r="O23" s="136"/>
      <c r="P23" s="136"/>
      <c r="Q23" s="136"/>
      <c r="R23" s="136"/>
      <c r="S23" s="136"/>
      <c r="T23" s="136"/>
      <c r="U23" s="136"/>
      <c r="V23" s="136"/>
      <c r="W23" s="136"/>
      <c r="X23" s="136"/>
      <c r="Y23" s="136"/>
      <c r="Z23" s="136"/>
      <c r="AA23" s="136"/>
      <c r="AB23" s="136"/>
      <c r="AC23" s="136"/>
      <c r="AD23" s="136"/>
      <c r="AE23" s="136"/>
      <c r="AF23" s="136"/>
    </row>
    <row r="24" spans="1:32" x14ac:dyDescent="0.2">
      <c r="A24" s="151" t="s">
        <v>12</v>
      </c>
      <c r="B24" s="110">
        <v>16.359000000000002</v>
      </c>
      <c r="C24" s="110">
        <v>33.651000000000003</v>
      </c>
      <c r="D24" s="110">
        <v>202.18</v>
      </c>
      <c r="E24" s="110">
        <v>467.435</v>
      </c>
      <c r="F24" s="110" t="s">
        <v>28</v>
      </c>
      <c r="G24" s="110" t="s">
        <v>28</v>
      </c>
      <c r="H24" s="110">
        <v>6187.3184220000003</v>
      </c>
      <c r="I24" s="110">
        <v>11487.906999999999</v>
      </c>
      <c r="J24" s="110">
        <v>6974.5267999999996</v>
      </c>
      <c r="K24" s="110">
        <v>1256.498</v>
      </c>
      <c r="L24" s="110">
        <v>9384.7459999999992</v>
      </c>
      <c r="M24" s="110">
        <v>10281.031999999999</v>
      </c>
      <c r="N24" s="138">
        <v>32911.268999999993</v>
      </c>
      <c r="O24" s="136"/>
      <c r="P24" s="136"/>
      <c r="Q24" s="136"/>
      <c r="R24" s="136"/>
      <c r="S24" s="136"/>
      <c r="T24" s="136"/>
      <c r="U24" s="136"/>
      <c r="V24" s="136"/>
      <c r="W24" s="136"/>
      <c r="X24" s="136"/>
      <c r="Y24" s="136"/>
      <c r="Z24" s="136"/>
      <c r="AA24" s="136"/>
      <c r="AB24" s="136"/>
      <c r="AC24" s="136"/>
      <c r="AD24" s="136"/>
      <c r="AE24" s="136"/>
      <c r="AF24" s="136"/>
    </row>
    <row r="25" spans="1:32" x14ac:dyDescent="0.2">
      <c r="A25" s="151" t="s">
        <v>13</v>
      </c>
      <c r="B25" s="110" t="s">
        <v>28</v>
      </c>
      <c r="C25" s="110" t="s">
        <v>28</v>
      </c>
      <c r="D25" s="110" t="s">
        <v>28</v>
      </c>
      <c r="E25" s="110" t="s">
        <v>28</v>
      </c>
      <c r="F25" s="110" t="s">
        <v>28</v>
      </c>
      <c r="G25" s="110" t="s">
        <v>28</v>
      </c>
      <c r="H25" s="110">
        <v>31232.885517999999</v>
      </c>
      <c r="I25" s="110">
        <v>46689.281000000003</v>
      </c>
      <c r="J25" s="110">
        <v>24.335999999999999</v>
      </c>
      <c r="K25" s="110">
        <v>9.6340000000000003</v>
      </c>
      <c r="L25" s="110">
        <v>107.404</v>
      </c>
      <c r="M25" s="110">
        <v>2672.703</v>
      </c>
      <c r="N25" s="138">
        <v>49479.022000000004</v>
      </c>
      <c r="O25" s="136"/>
      <c r="P25" s="136"/>
      <c r="Q25" s="136"/>
      <c r="R25" s="136"/>
      <c r="S25" s="136"/>
      <c r="T25" s="136"/>
      <c r="U25" s="136"/>
      <c r="V25" s="136"/>
      <c r="W25" s="136"/>
      <c r="X25" s="136"/>
      <c r="Y25" s="136"/>
      <c r="Z25" s="136"/>
      <c r="AA25" s="136"/>
      <c r="AB25" s="136"/>
      <c r="AC25" s="136"/>
      <c r="AD25" s="136"/>
      <c r="AE25" s="136"/>
      <c r="AF25" s="136"/>
    </row>
    <row r="26" spans="1:32" x14ac:dyDescent="0.2">
      <c r="A26" s="151" t="s">
        <v>108</v>
      </c>
      <c r="B26" s="110" t="s">
        <v>28</v>
      </c>
      <c r="C26" s="110" t="s">
        <v>28</v>
      </c>
      <c r="D26" s="110">
        <v>5</v>
      </c>
      <c r="E26" s="110">
        <v>2.8359999999999999</v>
      </c>
      <c r="F26" s="110" t="s">
        <v>28</v>
      </c>
      <c r="G26" s="110" t="s">
        <v>28</v>
      </c>
      <c r="H26" s="110">
        <v>18052.062896000003</v>
      </c>
      <c r="I26" s="110">
        <v>25049.352999999999</v>
      </c>
      <c r="J26" s="110">
        <v>62.48</v>
      </c>
      <c r="K26" s="110">
        <v>75.984999999999999</v>
      </c>
      <c r="L26" s="110">
        <v>473.79199999999997</v>
      </c>
      <c r="M26" s="110">
        <v>6078.8360000000002</v>
      </c>
      <c r="N26" s="138">
        <v>31680.802</v>
      </c>
      <c r="O26" s="136"/>
      <c r="P26" s="136"/>
      <c r="Q26" s="136"/>
      <c r="R26" s="136"/>
      <c r="S26" s="136"/>
      <c r="T26" s="136"/>
      <c r="U26" s="136"/>
      <c r="V26" s="136"/>
      <c r="W26" s="136"/>
      <c r="X26" s="136"/>
      <c r="Y26" s="136"/>
      <c r="Z26" s="136"/>
      <c r="AA26" s="136"/>
      <c r="AB26" s="136"/>
      <c r="AC26" s="136"/>
      <c r="AD26" s="136"/>
      <c r="AE26" s="136"/>
      <c r="AF26" s="136"/>
    </row>
    <row r="27" spans="1:32" x14ac:dyDescent="0.2">
      <c r="A27" s="151" t="s">
        <v>233</v>
      </c>
      <c r="B27" s="110" t="s">
        <v>28</v>
      </c>
      <c r="C27" s="110" t="s">
        <v>28</v>
      </c>
      <c r="D27" s="110" t="s">
        <v>28</v>
      </c>
      <c r="E27" s="110" t="s">
        <v>28</v>
      </c>
      <c r="F27" s="110" t="s">
        <v>28</v>
      </c>
      <c r="G27" s="110" t="s">
        <v>28</v>
      </c>
      <c r="H27" s="110" t="s">
        <v>28</v>
      </c>
      <c r="I27" s="110" t="s">
        <v>28</v>
      </c>
      <c r="J27" s="110">
        <v>11160.5293</v>
      </c>
      <c r="K27" s="110">
        <v>1858.36</v>
      </c>
      <c r="L27" s="110">
        <v>487.79199999999997</v>
      </c>
      <c r="M27" s="110">
        <v>26.398</v>
      </c>
      <c r="N27" s="138">
        <v>2372.5499999999997</v>
      </c>
      <c r="O27" s="136"/>
      <c r="P27" s="136"/>
      <c r="Q27" s="136"/>
      <c r="R27" s="136"/>
      <c r="S27" s="136"/>
      <c r="T27" s="136"/>
      <c r="U27" s="136"/>
      <c r="V27" s="136"/>
      <c r="W27" s="136"/>
      <c r="X27" s="136"/>
      <c r="Y27" s="136"/>
      <c r="Z27" s="136"/>
      <c r="AA27" s="136"/>
      <c r="AB27" s="136"/>
      <c r="AC27" s="136"/>
      <c r="AD27" s="136"/>
      <c r="AE27" s="136"/>
      <c r="AF27" s="136"/>
    </row>
    <row r="28" spans="1:32" x14ac:dyDescent="0.2">
      <c r="A28" s="151" t="s">
        <v>14</v>
      </c>
      <c r="B28" s="110">
        <v>10</v>
      </c>
      <c r="C28" s="110">
        <v>5.5970000000000004</v>
      </c>
      <c r="D28" s="110">
        <v>799.96199999999999</v>
      </c>
      <c r="E28" s="110">
        <v>825.84500000000003</v>
      </c>
      <c r="F28" s="110" t="s">
        <v>28</v>
      </c>
      <c r="G28" s="110" t="s">
        <v>28</v>
      </c>
      <c r="H28" s="110">
        <v>2531.7528600000001</v>
      </c>
      <c r="I28" s="110">
        <v>8090.4650000000001</v>
      </c>
      <c r="J28" s="110">
        <v>3100.47</v>
      </c>
      <c r="K28" s="110">
        <v>3633.1759999999999</v>
      </c>
      <c r="L28" s="110">
        <v>17744.585999999999</v>
      </c>
      <c r="M28" s="110">
        <v>42392.353000000003</v>
      </c>
      <c r="N28" s="138">
        <v>72692.021999999997</v>
      </c>
      <c r="O28" s="136"/>
      <c r="P28" s="136"/>
      <c r="Q28" s="136"/>
      <c r="R28" s="136"/>
      <c r="S28" s="136"/>
      <c r="T28" s="136"/>
      <c r="U28" s="136"/>
      <c r="V28" s="136"/>
      <c r="W28" s="136"/>
      <c r="X28" s="136"/>
      <c r="Y28" s="136"/>
      <c r="Z28" s="136"/>
      <c r="AA28" s="136"/>
      <c r="AB28" s="136"/>
      <c r="AC28" s="136"/>
      <c r="AD28" s="136"/>
      <c r="AE28" s="136"/>
      <c r="AF28" s="136"/>
    </row>
    <row r="29" spans="1:32" x14ac:dyDescent="0.2">
      <c r="A29" s="151" t="s">
        <v>47</v>
      </c>
      <c r="B29" s="110" t="s">
        <v>28</v>
      </c>
      <c r="C29" s="110" t="s">
        <v>28</v>
      </c>
      <c r="D29" s="110">
        <v>88.831000000000003</v>
      </c>
      <c r="E29" s="110">
        <v>1104.816</v>
      </c>
      <c r="F29" s="110" t="s">
        <v>28</v>
      </c>
      <c r="G29" s="110" t="s">
        <v>28</v>
      </c>
      <c r="H29" s="110" t="s">
        <v>28</v>
      </c>
      <c r="I29" s="110" t="s">
        <v>28</v>
      </c>
      <c r="J29" s="110">
        <v>353.536</v>
      </c>
      <c r="K29" s="110">
        <v>485.3</v>
      </c>
      <c r="L29" s="110">
        <v>41.408999999999999</v>
      </c>
      <c r="M29" s="110">
        <v>0.41699999999999998</v>
      </c>
      <c r="N29" s="138">
        <v>1631.942</v>
      </c>
      <c r="O29" s="136"/>
      <c r="P29" s="136"/>
      <c r="Q29" s="136"/>
      <c r="R29" s="136"/>
      <c r="S29" s="136"/>
      <c r="T29" s="136"/>
      <c r="U29" s="136"/>
      <c r="V29" s="136"/>
      <c r="W29" s="136"/>
      <c r="X29" s="136"/>
      <c r="Y29" s="136"/>
      <c r="Z29" s="136"/>
      <c r="AA29" s="136"/>
      <c r="AB29" s="136"/>
      <c r="AC29" s="136"/>
      <c r="AD29" s="136"/>
      <c r="AE29" s="136"/>
      <c r="AF29" s="136"/>
    </row>
    <row r="30" spans="1:32" x14ac:dyDescent="0.2">
      <c r="A30" s="151" t="s">
        <v>16</v>
      </c>
      <c r="B30" s="110" t="s">
        <v>28</v>
      </c>
      <c r="C30" s="110" t="s">
        <v>28</v>
      </c>
      <c r="D30" s="110">
        <v>624.86599999999999</v>
      </c>
      <c r="E30" s="110">
        <v>1083.4110000000001</v>
      </c>
      <c r="F30" s="110" t="s">
        <v>28</v>
      </c>
      <c r="G30" s="110" t="s">
        <v>28</v>
      </c>
      <c r="H30" s="110">
        <v>1242.847051</v>
      </c>
      <c r="I30" s="110">
        <v>2307.0160000000001</v>
      </c>
      <c r="J30" s="110">
        <v>913.38499999999999</v>
      </c>
      <c r="K30" s="110">
        <v>528.52099999999996</v>
      </c>
      <c r="L30" s="110">
        <v>524.17200000000003</v>
      </c>
      <c r="M30" s="110">
        <v>3617.5909999999999</v>
      </c>
      <c r="N30" s="138">
        <v>8060.7109999999993</v>
      </c>
      <c r="O30" s="136"/>
      <c r="P30" s="136"/>
      <c r="Q30" s="136"/>
      <c r="R30" s="136"/>
      <c r="S30" s="136"/>
      <c r="T30" s="136"/>
      <c r="U30" s="136"/>
      <c r="V30" s="136"/>
      <c r="W30" s="136"/>
      <c r="X30" s="136"/>
      <c r="Y30" s="136"/>
      <c r="Z30" s="136"/>
      <c r="AA30" s="136"/>
      <c r="AB30" s="136"/>
      <c r="AC30" s="136"/>
      <c r="AD30" s="136"/>
      <c r="AE30" s="136"/>
      <c r="AF30" s="136"/>
    </row>
    <row r="31" spans="1:32" x14ac:dyDescent="0.2">
      <c r="A31" s="151" t="s">
        <v>234</v>
      </c>
      <c r="B31" s="110" t="s">
        <v>28</v>
      </c>
      <c r="C31" s="110" t="s">
        <v>28</v>
      </c>
      <c r="D31" s="110">
        <v>1775.2860000000001</v>
      </c>
      <c r="E31" s="110">
        <v>740.40099999999995</v>
      </c>
      <c r="F31" s="110">
        <v>1116.2270000000001</v>
      </c>
      <c r="G31" s="110">
        <v>1208.723</v>
      </c>
      <c r="H31" s="110">
        <v>1.625564</v>
      </c>
      <c r="I31" s="110">
        <v>37.991</v>
      </c>
      <c r="J31" s="110">
        <v>3</v>
      </c>
      <c r="K31" s="110">
        <v>66.722999999999999</v>
      </c>
      <c r="L31" s="110">
        <v>60.008000000000003</v>
      </c>
      <c r="M31" s="110">
        <v>1135.52</v>
      </c>
      <c r="N31" s="138">
        <v>3249.366</v>
      </c>
      <c r="O31" s="136"/>
      <c r="P31" s="136"/>
      <c r="Q31" s="136"/>
      <c r="R31" s="136"/>
      <c r="S31" s="136"/>
      <c r="T31" s="136"/>
      <c r="U31" s="136"/>
      <c r="V31" s="136"/>
      <c r="W31" s="136"/>
      <c r="X31" s="136"/>
      <c r="Y31" s="136"/>
      <c r="Z31" s="136"/>
      <c r="AA31" s="136"/>
      <c r="AB31" s="136"/>
      <c r="AC31" s="136"/>
      <c r="AD31" s="136"/>
      <c r="AE31" s="136"/>
      <c r="AF31" s="136"/>
    </row>
    <row r="32" spans="1:32" x14ac:dyDescent="0.2">
      <c r="A32" s="151" t="s">
        <v>18</v>
      </c>
      <c r="B32" s="110" t="s">
        <v>28</v>
      </c>
      <c r="C32" s="110" t="s">
        <v>28</v>
      </c>
      <c r="D32" s="110">
        <v>659.40099999999995</v>
      </c>
      <c r="E32" s="110">
        <v>1130.0989999999999</v>
      </c>
      <c r="F32" s="110" t="s">
        <v>28</v>
      </c>
      <c r="G32" s="110" t="s">
        <v>28</v>
      </c>
      <c r="H32" s="110" t="s">
        <v>28</v>
      </c>
      <c r="I32" s="110" t="s">
        <v>28</v>
      </c>
      <c r="J32" s="110" t="s">
        <v>28</v>
      </c>
      <c r="K32" s="110" t="s">
        <v>28</v>
      </c>
      <c r="L32" s="110" t="s">
        <v>28</v>
      </c>
      <c r="M32" s="110">
        <v>139.29</v>
      </c>
      <c r="N32" s="138">
        <v>1269.3889999999999</v>
      </c>
      <c r="O32" s="136"/>
      <c r="P32" s="136"/>
      <c r="Q32" s="136"/>
      <c r="R32" s="136"/>
      <c r="S32" s="136"/>
      <c r="T32" s="136"/>
      <c r="U32" s="136"/>
      <c r="V32" s="136"/>
      <c r="W32" s="136"/>
      <c r="X32" s="136"/>
      <c r="Y32" s="136"/>
      <c r="Z32" s="136"/>
      <c r="AA32" s="136"/>
      <c r="AB32" s="136"/>
      <c r="AC32" s="136"/>
      <c r="AD32" s="136"/>
      <c r="AE32" s="136"/>
      <c r="AF32" s="136"/>
    </row>
    <row r="33" spans="1:32" x14ac:dyDescent="0.2">
      <c r="A33" s="151" t="s">
        <v>33</v>
      </c>
      <c r="B33" s="110" t="s">
        <v>28</v>
      </c>
      <c r="C33" s="110" t="s">
        <v>28</v>
      </c>
      <c r="D33" s="110">
        <v>502.30399999999997</v>
      </c>
      <c r="E33" s="110">
        <v>1221.9480000000001</v>
      </c>
      <c r="F33" s="110" t="s">
        <v>28</v>
      </c>
      <c r="G33" s="110" t="s">
        <v>28</v>
      </c>
      <c r="H33" s="110" t="s">
        <v>28</v>
      </c>
      <c r="I33" s="110" t="s">
        <v>28</v>
      </c>
      <c r="J33" s="110" t="s">
        <v>28</v>
      </c>
      <c r="K33" s="110" t="s">
        <v>28</v>
      </c>
      <c r="L33" s="110" t="s">
        <v>28</v>
      </c>
      <c r="M33" s="110">
        <v>2.4710000000000001</v>
      </c>
      <c r="N33" s="138">
        <v>1224.4190000000001</v>
      </c>
      <c r="O33" s="136"/>
      <c r="P33" s="136"/>
      <c r="Q33" s="136"/>
      <c r="R33" s="136"/>
      <c r="S33" s="136"/>
      <c r="T33" s="136"/>
      <c r="U33" s="136"/>
      <c r="V33" s="136"/>
      <c r="W33" s="136"/>
      <c r="X33" s="136"/>
      <c r="Y33" s="136"/>
      <c r="Z33" s="136"/>
      <c r="AA33" s="136"/>
      <c r="AB33" s="136"/>
      <c r="AC33" s="136"/>
      <c r="AD33" s="136"/>
      <c r="AE33" s="136"/>
      <c r="AF33" s="136"/>
    </row>
    <row r="34" spans="1:32" x14ac:dyDescent="0.2">
      <c r="A34" s="151" t="s">
        <v>19</v>
      </c>
      <c r="B34" s="110" t="s">
        <v>28</v>
      </c>
      <c r="C34" s="110" t="s">
        <v>28</v>
      </c>
      <c r="D34" s="110">
        <v>23.5639</v>
      </c>
      <c r="E34" s="110">
        <v>38.729999999999997</v>
      </c>
      <c r="F34" s="110" t="s">
        <v>28</v>
      </c>
      <c r="G34" s="110" t="s">
        <v>28</v>
      </c>
      <c r="H34" s="110">
        <v>417.13059999999996</v>
      </c>
      <c r="I34" s="110">
        <v>1125.683</v>
      </c>
      <c r="J34" s="110">
        <v>10.53</v>
      </c>
      <c r="K34" s="110">
        <v>0.27100000000000002</v>
      </c>
      <c r="L34" s="110">
        <v>259.00099999999998</v>
      </c>
      <c r="M34" s="110">
        <v>793.46299999999997</v>
      </c>
      <c r="N34" s="138">
        <v>2217.1479999999997</v>
      </c>
      <c r="O34" s="136"/>
      <c r="P34" s="136"/>
      <c r="Q34" s="136"/>
      <c r="R34" s="136"/>
      <c r="S34" s="136"/>
      <c r="T34" s="136"/>
      <c r="U34" s="136"/>
      <c r="V34" s="136"/>
      <c r="W34" s="136"/>
      <c r="X34" s="136"/>
      <c r="Y34" s="136"/>
      <c r="Z34" s="136"/>
      <c r="AA34" s="136"/>
      <c r="AB34" s="136"/>
      <c r="AC34" s="136"/>
      <c r="AD34" s="136"/>
      <c r="AE34" s="136"/>
      <c r="AF34" s="136"/>
    </row>
    <row r="35" spans="1:32" x14ac:dyDescent="0.2">
      <c r="A35" s="151" t="s">
        <v>43</v>
      </c>
      <c r="B35" s="110" t="s">
        <v>28</v>
      </c>
      <c r="C35" s="110" t="s">
        <v>28</v>
      </c>
      <c r="D35" s="110" t="s">
        <v>28</v>
      </c>
      <c r="E35" s="110" t="s">
        <v>28</v>
      </c>
      <c r="F35" s="110" t="s">
        <v>28</v>
      </c>
      <c r="G35" s="110" t="s">
        <v>28</v>
      </c>
      <c r="H35" s="110">
        <v>5.8630020000000007</v>
      </c>
      <c r="I35" s="110">
        <v>1210.566</v>
      </c>
      <c r="J35" s="110">
        <v>663.43989999999997</v>
      </c>
      <c r="K35" s="110">
        <v>218.8</v>
      </c>
      <c r="L35" s="110">
        <v>2854.7669999999998</v>
      </c>
      <c r="M35" s="110">
        <v>5806.85</v>
      </c>
      <c r="N35" s="138">
        <v>10090.983</v>
      </c>
      <c r="O35" s="136"/>
      <c r="P35" s="136"/>
      <c r="Q35" s="136"/>
      <c r="R35" s="136"/>
      <c r="S35" s="136"/>
      <c r="T35" s="136"/>
      <c r="U35" s="136"/>
      <c r="V35" s="136"/>
      <c r="W35" s="136"/>
      <c r="X35" s="136"/>
      <c r="Y35" s="136"/>
      <c r="Z35" s="136"/>
      <c r="AA35" s="136"/>
      <c r="AB35" s="136"/>
      <c r="AC35" s="136"/>
      <c r="AD35" s="136"/>
      <c r="AE35" s="136"/>
      <c r="AF35" s="136"/>
    </row>
    <row r="36" spans="1:32" x14ac:dyDescent="0.2">
      <c r="A36" s="151" t="s">
        <v>20</v>
      </c>
      <c r="B36" s="110" t="s">
        <v>28</v>
      </c>
      <c r="C36" s="110" t="s">
        <v>28</v>
      </c>
      <c r="D36" s="110" t="s">
        <v>28</v>
      </c>
      <c r="E36" s="110" t="s">
        <v>28</v>
      </c>
      <c r="F36" s="110" t="s">
        <v>28</v>
      </c>
      <c r="G36" s="110" t="s">
        <v>28</v>
      </c>
      <c r="H36" s="110">
        <v>745.11433999999997</v>
      </c>
      <c r="I36" s="110">
        <v>1376.87</v>
      </c>
      <c r="J36" s="110">
        <v>2160.0028000000002</v>
      </c>
      <c r="K36" s="110">
        <v>985.98599999999999</v>
      </c>
      <c r="L36" s="110">
        <v>3.8130000000000002</v>
      </c>
      <c r="M36" s="110">
        <v>1760.623</v>
      </c>
      <c r="N36" s="138">
        <v>4127.2919999999995</v>
      </c>
      <c r="O36" s="136"/>
      <c r="P36" s="136"/>
      <c r="Q36" s="136"/>
      <c r="R36" s="136"/>
      <c r="S36" s="136"/>
      <c r="T36" s="136"/>
      <c r="U36" s="136"/>
      <c r="V36" s="136"/>
      <c r="W36" s="136"/>
      <c r="X36" s="136"/>
      <c r="Y36" s="136"/>
      <c r="Z36" s="136"/>
      <c r="AA36" s="136"/>
      <c r="AB36" s="136"/>
      <c r="AC36" s="136"/>
      <c r="AD36" s="136"/>
      <c r="AE36" s="136"/>
      <c r="AF36" s="136"/>
    </row>
    <row r="37" spans="1:32" x14ac:dyDescent="0.2">
      <c r="A37" s="151" t="s">
        <v>235</v>
      </c>
      <c r="B37" s="110" t="s">
        <v>28</v>
      </c>
      <c r="C37" s="110" t="s">
        <v>28</v>
      </c>
      <c r="D37" s="110">
        <v>37.185000000000002</v>
      </c>
      <c r="E37" s="110">
        <v>42.951999999999998</v>
      </c>
      <c r="F37" s="110" t="s">
        <v>28</v>
      </c>
      <c r="G37" s="110" t="s">
        <v>28</v>
      </c>
      <c r="H37" s="110" t="s">
        <v>28</v>
      </c>
      <c r="I37" s="110" t="s">
        <v>28</v>
      </c>
      <c r="J37" s="110">
        <v>2783.607</v>
      </c>
      <c r="K37" s="110">
        <v>1388.8030000000001</v>
      </c>
      <c r="L37" s="110" t="s">
        <v>28</v>
      </c>
      <c r="M37" s="110">
        <v>46.777000000000001</v>
      </c>
      <c r="N37" s="138">
        <v>1478.5320000000002</v>
      </c>
      <c r="O37" s="136"/>
      <c r="P37" s="136"/>
      <c r="Q37" s="136"/>
      <c r="R37" s="136"/>
      <c r="S37" s="136"/>
      <c r="T37" s="136"/>
      <c r="U37" s="136"/>
      <c r="V37" s="136"/>
      <c r="W37" s="136"/>
      <c r="X37" s="136"/>
      <c r="Y37" s="136"/>
      <c r="Z37" s="136"/>
      <c r="AA37" s="136"/>
      <c r="AB37" s="136"/>
      <c r="AC37" s="136"/>
      <c r="AD37" s="136"/>
      <c r="AE37" s="136"/>
      <c r="AF37" s="136"/>
    </row>
    <row r="38" spans="1:32" x14ac:dyDescent="0.2">
      <c r="A38" s="151" t="s">
        <v>21</v>
      </c>
      <c r="B38" s="110" t="s">
        <v>28</v>
      </c>
      <c r="C38" s="110" t="s">
        <v>28</v>
      </c>
      <c r="D38" s="110" t="s">
        <v>28</v>
      </c>
      <c r="E38" s="110" t="s">
        <v>28</v>
      </c>
      <c r="F38" s="110" t="s">
        <v>28</v>
      </c>
      <c r="G38" s="110" t="s">
        <v>28</v>
      </c>
      <c r="H38" s="110">
        <v>8324.0113810000003</v>
      </c>
      <c r="I38" s="110">
        <v>49115.485000000001</v>
      </c>
      <c r="J38" s="110">
        <v>3626.538</v>
      </c>
      <c r="K38" s="110">
        <v>115.209</v>
      </c>
      <c r="L38" s="110">
        <v>1288.1679999999999</v>
      </c>
      <c r="M38" s="110">
        <v>2565.7640000000001</v>
      </c>
      <c r="N38" s="138">
        <v>53084.626000000004</v>
      </c>
      <c r="O38" s="136"/>
      <c r="P38" s="136"/>
      <c r="Q38" s="136"/>
      <c r="R38" s="136"/>
      <c r="S38" s="136"/>
      <c r="T38" s="136"/>
      <c r="U38" s="136"/>
      <c r="V38" s="136"/>
      <c r="W38" s="136"/>
      <c r="X38" s="136"/>
      <c r="Y38" s="136"/>
      <c r="Z38" s="136"/>
      <c r="AA38" s="136"/>
      <c r="AB38" s="136"/>
      <c r="AC38" s="136"/>
      <c r="AD38" s="136"/>
      <c r="AE38" s="136"/>
      <c r="AF38" s="136"/>
    </row>
    <row r="39" spans="1:32" x14ac:dyDescent="0.2">
      <c r="A39" s="151" t="s">
        <v>30</v>
      </c>
      <c r="B39" s="110">
        <v>312.88499999999999</v>
      </c>
      <c r="C39" s="110">
        <v>401.57600000000002</v>
      </c>
      <c r="D39" s="110">
        <v>3111.21</v>
      </c>
      <c r="E39" s="110">
        <v>4129.8140000000003</v>
      </c>
      <c r="F39" s="110" t="s">
        <v>28</v>
      </c>
      <c r="G39" s="110" t="s">
        <v>28</v>
      </c>
      <c r="H39" s="110" t="s">
        <v>28</v>
      </c>
      <c r="I39" s="110" t="s">
        <v>28</v>
      </c>
      <c r="J39" s="110" t="s">
        <v>28</v>
      </c>
      <c r="K39" s="110" t="s">
        <v>28</v>
      </c>
      <c r="L39" s="110" t="s">
        <v>28</v>
      </c>
      <c r="M39" s="110" t="s">
        <v>28</v>
      </c>
      <c r="N39" s="138">
        <v>4531.3900000000003</v>
      </c>
      <c r="O39" s="136"/>
      <c r="P39" s="136"/>
      <c r="Q39" s="136"/>
      <c r="R39" s="136"/>
      <c r="S39" s="136"/>
      <c r="T39" s="136"/>
      <c r="U39" s="136"/>
      <c r="V39" s="136"/>
      <c r="W39" s="136"/>
      <c r="X39" s="136"/>
      <c r="Y39" s="136"/>
      <c r="Z39" s="136"/>
      <c r="AA39" s="136"/>
      <c r="AB39" s="136"/>
      <c r="AC39" s="136"/>
      <c r="AD39" s="136"/>
      <c r="AE39" s="136"/>
      <c r="AF39" s="136"/>
    </row>
    <row r="40" spans="1:32" x14ac:dyDescent="0.2">
      <c r="A40" s="151" t="s">
        <v>22</v>
      </c>
      <c r="B40" s="110">
        <v>27.2</v>
      </c>
      <c r="C40" s="110">
        <v>5.1959999999999997</v>
      </c>
      <c r="D40" s="110">
        <v>62.238999999999997</v>
      </c>
      <c r="E40" s="110">
        <v>44.776000000000003</v>
      </c>
      <c r="F40" s="110" t="s">
        <v>28</v>
      </c>
      <c r="G40" s="110" t="s">
        <v>28</v>
      </c>
      <c r="H40" s="110">
        <v>8870.9998200000009</v>
      </c>
      <c r="I40" s="110">
        <v>10984.978999999999</v>
      </c>
      <c r="J40" s="110">
        <v>732.99059999999997</v>
      </c>
      <c r="K40" s="110">
        <v>717.64700000000005</v>
      </c>
      <c r="L40" s="110">
        <v>121.798</v>
      </c>
      <c r="M40" s="110">
        <v>2123.8150000000001</v>
      </c>
      <c r="N40" s="138">
        <v>13998.210999999999</v>
      </c>
    </row>
    <row r="41" spans="1:32" x14ac:dyDescent="0.2">
      <c r="A41" s="151" t="s">
        <v>23</v>
      </c>
      <c r="B41" s="110" t="s">
        <v>28</v>
      </c>
      <c r="C41" s="110" t="s">
        <v>28</v>
      </c>
      <c r="D41" s="110">
        <v>93.08</v>
      </c>
      <c r="E41" s="110">
        <v>58.612000000000002</v>
      </c>
      <c r="F41" s="110" t="s">
        <v>28</v>
      </c>
      <c r="G41" s="110" t="s">
        <v>28</v>
      </c>
      <c r="H41" s="110">
        <v>523.54709600000001</v>
      </c>
      <c r="I41" s="110">
        <v>3473.0650000000001</v>
      </c>
      <c r="J41" s="110">
        <v>858.04359999999997</v>
      </c>
      <c r="K41" s="110">
        <v>1258.943</v>
      </c>
      <c r="L41" s="110">
        <v>293.16500000000002</v>
      </c>
      <c r="M41" s="110">
        <v>1581.953</v>
      </c>
      <c r="N41" s="138">
        <v>6665.7380000000003</v>
      </c>
    </row>
    <row r="42" spans="1:32" x14ac:dyDescent="0.2">
      <c r="A42" s="151" t="s">
        <v>24</v>
      </c>
      <c r="B42" s="110" t="s">
        <v>28</v>
      </c>
      <c r="C42" s="110" t="s">
        <v>28</v>
      </c>
      <c r="D42" s="110" t="s">
        <v>28</v>
      </c>
      <c r="E42" s="110" t="s">
        <v>28</v>
      </c>
      <c r="F42" s="110" t="s">
        <v>28</v>
      </c>
      <c r="G42" s="110" t="s">
        <v>28</v>
      </c>
      <c r="H42" s="110">
        <v>12619.260707000001</v>
      </c>
      <c r="I42" s="110">
        <v>15838.224</v>
      </c>
      <c r="J42" s="110">
        <v>1381.2560000000001</v>
      </c>
      <c r="K42" s="110">
        <v>512.12900000000002</v>
      </c>
      <c r="L42" s="110">
        <v>79.814999999999998</v>
      </c>
      <c r="M42" s="110">
        <v>3036.9110000000001</v>
      </c>
      <c r="N42" s="138">
        <v>19467.079000000002</v>
      </c>
    </row>
    <row r="43" spans="1:32" x14ac:dyDescent="0.2">
      <c r="A43" s="151" t="s">
        <v>31</v>
      </c>
      <c r="B43" s="110" t="s">
        <v>28</v>
      </c>
      <c r="C43" s="110" t="s">
        <v>28</v>
      </c>
      <c r="D43" s="110" t="s">
        <v>28</v>
      </c>
      <c r="E43" s="110" t="s">
        <v>28</v>
      </c>
      <c r="F43" s="110" t="s">
        <v>28</v>
      </c>
      <c r="G43" s="110" t="s">
        <v>28</v>
      </c>
      <c r="H43" s="110">
        <v>1119.716629</v>
      </c>
      <c r="I43" s="110">
        <v>4297.5029999999997</v>
      </c>
      <c r="J43" s="110">
        <v>1.9</v>
      </c>
      <c r="K43" s="110">
        <v>8.2119999999999997</v>
      </c>
      <c r="L43" s="110">
        <v>400.995</v>
      </c>
      <c r="M43" s="110">
        <v>13166.537</v>
      </c>
      <c r="N43" s="138">
        <v>17873.246999999999</v>
      </c>
    </row>
    <row r="44" spans="1:32" x14ac:dyDescent="0.2">
      <c r="A44" s="151" t="s">
        <v>26</v>
      </c>
      <c r="B44" s="110" t="s">
        <v>28</v>
      </c>
      <c r="C44" s="110" t="s">
        <v>28</v>
      </c>
      <c r="D44" s="110" t="s">
        <v>28</v>
      </c>
      <c r="E44" s="110" t="s">
        <v>28</v>
      </c>
      <c r="F44" s="110" t="s">
        <v>28</v>
      </c>
      <c r="G44" s="110" t="s">
        <v>28</v>
      </c>
      <c r="H44" s="110">
        <v>3041.8951189999998</v>
      </c>
      <c r="I44" s="110">
        <v>4730.4250000000002</v>
      </c>
      <c r="J44" s="110">
        <v>226.178</v>
      </c>
      <c r="K44" s="110">
        <v>168.53700000000001</v>
      </c>
      <c r="L44" s="110">
        <v>9254.1579999999994</v>
      </c>
      <c r="M44" s="110">
        <v>3908.7190000000001</v>
      </c>
      <c r="N44" s="138">
        <v>18061.839</v>
      </c>
    </row>
    <row r="45" spans="1:32" x14ac:dyDescent="0.2">
      <c r="A45" s="151" t="s">
        <v>86</v>
      </c>
      <c r="B45" s="110" t="s">
        <v>28</v>
      </c>
      <c r="C45" s="110" t="s">
        <v>28</v>
      </c>
      <c r="D45" s="110">
        <v>18.36</v>
      </c>
      <c r="E45" s="110">
        <v>44.22</v>
      </c>
      <c r="F45" s="110" t="s">
        <v>28</v>
      </c>
      <c r="G45" s="110" t="s">
        <v>28</v>
      </c>
      <c r="H45" s="110">
        <v>9316.7484409999997</v>
      </c>
      <c r="I45" s="110">
        <v>15854.543</v>
      </c>
      <c r="J45" s="110">
        <v>23458.239000000001</v>
      </c>
      <c r="K45" s="110">
        <v>287.47199999999998</v>
      </c>
      <c r="L45" s="110">
        <v>4840.9250000000002</v>
      </c>
      <c r="M45" s="110">
        <v>7695.3410000000003</v>
      </c>
      <c r="N45" s="138">
        <v>28722.501</v>
      </c>
    </row>
    <row r="46" spans="1:32" x14ac:dyDescent="0.2">
      <c r="A46" s="151" t="s">
        <v>95</v>
      </c>
      <c r="B46" s="110">
        <v>878.92700000000002</v>
      </c>
      <c r="C46" s="110">
        <v>1648.5050000000001</v>
      </c>
      <c r="D46" s="110">
        <v>5295.0569999999998</v>
      </c>
      <c r="E46" s="110">
        <v>9057.5580000000009</v>
      </c>
      <c r="F46" s="110">
        <v>1169.731</v>
      </c>
      <c r="G46" s="110">
        <v>1602.3969999999999</v>
      </c>
      <c r="H46" s="110">
        <v>13268.992225</v>
      </c>
      <c r="I46" s="110">
        <v>30982.246999999999</v>
      </c>
      <c r="J46" s="110">
        <v>5579.4638999999997</v>
      </c>
      <c r="K46" s="110">
        <v>3501.5709999999999</v>
      </c>
      <c r="L46" s="110">
        <v>2161.1280000000002</v>
      </c>
      <c r="M46" s="110">
        <v>33873.616000000002</v>
      </c>
      <c r="N46" s="138">
        <v>82827.022000000012</v>
      </c>
    </row>
    <row r="47" spans="1:32" x14ac:dyDescent="0.2">
      <c r="A47" s="151" t="s">
        <v>107</v>
      </c>
      <c r="B47" s="110">
        <v>5</v>
      </c>
      <c r="C47" s="110">
        <v>9.6000000000000002E-2</v>
      </c>
      <c r="D47" s="110" t="s">
        <v>28</v>
      </c>
      <c r="E47" s="110" t="s">
        <v>28</v>
      </c>
      <c r="F47" s="110" t="s">
        <v>28</v>
      </c>
      <c r="G47" s="110" t="s">
        <v>28</v>
      </c>
      <c r="H47" s="110">
        <v>1990.6388999999999</v>
      </c>
      <c r="I47" s="110">
        <v>3959.0839999999998</v>
      </c>
      <c r="J47" s="110" t="s">
        <v>28</v>
      </c>
      <c r="K47" s="110">
        <v>7.0110000000000001</v>
      </c>
      <c r="L47" s="110">
        <v>53177.527999999998</v>
      </c>
      <c r="M47" s="110">
        <v>8070.1729999999998</v>
      </c>
      <c r="N47" s="138">
        <v>65213.892</v>
      </c>
    </row>
    <row r="48" spans="1:32" x14ac:dyDescent="0.2">
      <c r="A48" s="151" t="s">
        <v>93</v>
      </c>
      <c r="B48" s="110">
        <v>223.63000000000011</v>
      </c>
      <c r="C48" s="110">
        <v>181.35499999999956</v>
      </c>
      <c r="D48" s="110">
        <v>1444.6409999999887</v>
      </c>
      <c r="E48" s="110">
        <v>2193.176999999996</v>
      </c>
      <c r="F48" s="110">
        <v>18.19999999999709</v>
      </c>
      <c r="G48" s="110">
        <v>24.938000000001921</v>
      </c>
      <c r="H48" s="110">
        <v>2863.5767199998954</v>
      </c>
      <c r="I48" s="110">
        <v>5426.8340000000317</v>
      </c>
      <c r="J48" s="110">
        <v>6979.0235000000102</v>
      </c>
      <c r="K48" s="110">
        <v>1403.8300000000017</v>
      </c>
      <c r="L48" s="110">
        <v>2119.0639999999548</v>
      </c>
      <c r="M48" s="110">
        <v>5218.1570000000065</v>
      </c>
      <c r="N48" s="138">
        <v>16567.354999999992</v>
      </c>
    </row>
    <row r="49" spans="1:14" x14ac:dyDescent="0.2">
      <c r="A49" s="156" t="s">
        <v>27</v>
      </c>
      <c r="B49" s="114">
        <v>3306.9749999999999</v>
      </c>
      <c r="C49" s="114">
        <v>4009.3799999999997</v>
      </c>
      <c r="D49" s="114">
        <v>74875.982399999994</v>
      </c>
      <c r="E49" s="114">
        <v>93387.771999999983</v>
      </c>
      <c r="F49" s="114">
        <v>47470.745000000003</v>
      </c>
      <c r="G49" s="114">
        <v>43586.924999999996</v>
      </c>
      <c r="H49" s="114">
        <v>446033.70709099987</v>
      </c>
      <c r="I49" s="114">
        <v>671388.56600000022</v>
      </c>
      <c r="J49" s="114">
        <v>179488.97409999996</v>
      </c>
      <c r="K49" s="114">
        <v>68218.227000000014</v>
      </c>
      <c r="L49" s="114">
        <v>357194.18399999989</v>
      </c>
      <c r="M49" s="114">
        <v>562371.51800000016</v>
      </c>
      <c r="N49" s="114">
        <v>1800156.5719999999</v>
      </c>
    </row>
    <row r="50" spans="1:14" x14ac:dyDescent="0.2">
      <c r="A50" s="148"/>
      <c r="B50" s="154">
        <v>3083.3449999999998</v>
      </c>
      <c r="C50" s="154">
        <v>3828.0250000000001</v>
      </c>
      <c r="D50" s="154">
        <v>73431.341400000005</v>
      </c>
      <c r="E50" s="154">
        <v>91194.594999999987</v>
      </c>
      <c r="F50" s="154">
        <v>47452.545000000006</v>
      </c>
      <c r="G50" s="154">
        <v>43561.986999999994</v>
      </c>
      <c r="H50" s="154">
        <v>443170.13037099998</v>
      </c>
      <c r="I50" s="154">
        <v>665961.73200000019</v>
      </c>
      <c r="J50" s="154">
        <v>172509.95059999995</v>
      </c>
      <c r="K50" s="154">
        <v>66814.397000000012</v>
      </c>
      <c r="L50" s="154">
        <v>355075.11999999994</v>
      </c>
      <c r="M50" s="154">
        <v>557153.36100000015</v>
      </c>
      <c r="N50" s="138">
        <v>1783589.2170000002</v>
      </c>
    </row>
    <row r="51" spans="1:14" x14ac:dyDescent="0.2">
      <c r="A51" s="116" t="s">
        <v>48</v>
      </c>
      <c r="C51" s="137"/>
      <c r="D51" s="137"/>
      <c r="E51" s="137"/>
      <c r="F51" s="137"/>
      <c r="G51" s="139"/>
      <c r="H51" s="137"/>
      <c r="I51" s="137"/>
      <c r="J51" s="137"/>
    </row>
    <row r="52" spans="1:14" x14ac:dyDescent="0.2">
      <c r="A52" s="117" t="s">
        <v>225</v>
      </c>
    </row>
    <row r="53" spans="1:14" x14ac:dyDescent="0.2">
      <c r="A53" s="117"/>
    </row>
    <row r="54" spans="1:14" x14ac:dyDescent="0.2">
      <c r="A54" s="108" t="s">
        <v>37</v>
      </c>
    </row>
    <row r="55" spans="1:14" x14ac:dyDescent="0.2">
      <c r="A55" s="118" t="s">
        <v>104</v>
      </c>
    </row>
    <row r="56" spans="1:14" x14ac:dyDescent="0.2">
      <c r="A56" s="118" t="s">
        <v>55</v>
      </c>
    </row>
    <row r="57" spans="1:14" x14ac:dyDescent="0.2">
      <c r="A57" s="118" t="s">
        <v>56</v>
      </c>
    </row>
    <row r="58" spans="1:14" x14ac:dyDescent="0.2">
      <c r="A58" s="118" t="s">
        <v>67</v>
      </c>
    </row>
    <row r="59" spans="1:14" x14ac:dyDescent="0.2">
      <c r="A59" s="118" t="s">
        <v>68</v>
      </c>
    </row>
    <row r="60" spans="1:14" x14ac:dyDescent="0.2">
      <c r="A60" s="118" t="s">
        <v>72</v>
      </c>
    </row>
    <row r="61" spans="1:14" x14ac:dyDescent="0.2">
      <c r="A61" s="118" t="s">
        <v>73</v>
      </c>
    </row>
    <row r="62" spans="1:14" x14ac:dyDescent="0.2">
      <c r="A62" s="118" t="s">
        <v>74</v>
      </c>
    </row>
    <row r="63" spans="1:14" x14ac:dyDescent="0.2">
      <c r="A63" s="119"/>
    </row>
    <row r="64" spans="1:14" x14ac:dyDescent="0.2">
      <c r="A64" s="108" t="s">
        <v>50</v>
      </c>
    </row>
    <row r="65" spans="1:1" x14ac:dyDescent="0.2">
      <c r="A65" s="120" t="s">
        <v>105</v>
      </c>
    </row>
  </sheetData>
  <mergeCells count="6">
    <mergeCell ref="J3:K3"/>
    <mergeCell ref="A3:A5"/>
    <mergeCell ref="B3:C3"/>
    <mergeCell ref="D3:E3"/>
    <mergeCell ref="F3:G3"/>
    <mergeCell ref="H3:I3"/>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66"/>
  <sheetViews>
    <sheetView workbookViewId="0">
      <selection activeCell="E24" sqref="E24"/>
    </sheetView>
  </sheetViews>
  <sheetFormatPr defaultRowHeight="12.75" x14ac:dyDescent="0.2"/>
  <cols>
    <col min="1" max="1" width="30.7109375" customWidth="1"/>
    <col min="2" max="11" width="9.7109375" customWidth="1"/>
    <col min="12" max="14" width="13.7109375" customWidth="1"/>
  </cols>
  <sheetData>
    <row r="1" spans="1:32" ht="16.5" x14ac:dyDescent="0.2">
      <c r="A1" s="76" t="s">
        <v>238</v>
      </c>
    </row>
    <row r="3" spans="1:32" ht="21" x14ac:dyDescent="0.2">
      <c r="A3" s="163" t="s">
        <v>38</v>
      </c>
      <c r="B3" s="165" t="s">
        <v>36</v>
      </c>
      <c r="C3" s="165"/>
      <c r="D3" s="166" t="s">
        <v>90</v>
      </c>
      <c r="E3" s="167"/>
      <c r="F3" s="165" t="s">
        <v>35</v>
      </c>
      <c r="G3" s="165"/>
      <c r="H3" s="165" t="s">
        <v>91</v>
      </c>
      <c r="I3" s="165"/>
      <c r="J3" s="162" t="s">
        <v>70</v>
      </c>
      <c r="K3" s="162"/>
      <c r="L3" s="106" t="s">
        <v>92</v>
      </c>
      <c r="M3" s="106" t="s">
        <v>71</v>
      </c>
      <c r="N3" s="140" t="s">
        <v>34</v>
      </c>
    </row>
    <row r="4" spans="1:32" x14ac:dyDescent="0.2">
      <c r="A4" s="163"/>
      <c r="B4" s="108" t="s">
        <v>59</v>
      </c>
      <c r="C4" s="108" t="s">
        <v>57</v>
      </c>
      <c r="D4" s="141" t="s">
        <v>69</v>
      </c>
      <c r="E4" s="141" t="s">
        <v>57</v>
      </c>
      <c r="F4" s="108" t="s">
        <v>58</v>
      </c>
      <c r="G4" s="108" t="s">
        <v>57</v>
      </c>
      <c r="H4" s="108" t="s">
        <v>58</v>
      </c>
      <c r="I4" s="108" t="s">
        <v>57</v>
      </c>
      <c r="J4" s="141" t="s">
        <v>58</v>
      </c>
      <c r="K4" s="141" t="s">
        <v>57</v>
      </c>
      <c r="L4" s="108" t="s">
        <v>57</v>
      </c>
      <c r="M4" s="108" t="s">
        <v>57</v>
      </c>
      <c r="N4" s="141" t="s">
        <v>57</v>
      </c>
    </row>
    <row r="5" spans="1:32" x14ac:dyDescent="0.2">
      <c r="A5" s="164"/>
      <c r="B5" s="109" t="s">
        <v>60</v>
      </c>
      <c r="C5" s="109" t="s">
        <v>61</v>
      </c>
      <c r="D5" s="142" t="s">
        <v>62</v>
      </c>
      <c r="E5" s="142" t="s">
        <v>61</v>
      </c>
      <c r="F5" s="109" t="s">
        <v>63</v>
      </c>
      <c r="G5" s="109" t="s">
        <v>61</v>
      </c>
      <c r="H5" s="109" t="s">
        <v>63</v>
      </c>
      <c r="I5" s="109" t="s">
        <v>61</v>
      </c>
      <c r="J5" s="142" t="s">
        <v>64</v>
      </c>
      <c r="K5" s="142" t="s">
        <v>61</v>
      </c>
      <c r="L5" s="109" t="s">
        <v>61</v>
      </c>
      <c r="M5" s="109" t="s">
        <v>61</v>
      </c>
      <c r="N5" s="142" t="s">
        <v>61</v>
      </c>
    </row>
    <row r="6" spans="1:32" x14ac:dyDescent="0.2">
      <c r="A6" s="151" t="str">
        <f>[1]m3!A7</f>
        <v>Australia</v>
      </c>
      <c r="B6" s="110">
        <v>2132.4079999999999</v>
      </c>
      <c r="C6" s="110">
        <v>1921.8219999999999</v>
      </c>
      <c r="D6" s="138">
        <v>4711.0482000000002</v>
      </c>
      <c r="E6" s="138">
        <v>5243.55</v>
      </c>
      <c r="F6" s="110" t="s">
        <v>28</v>
      </c>
      <c r="G6" s="110" t="s">
        <v>28</v>
      </c>
      <c r="H6" s="110">
        <v>192619.377611</v>
      </c>
      <c r="I6" s="110">
        <v>198779.168588</v>
      </c>
      <c r="J6" s="138">
        <v>11622.4162</v>
      </c>
      <c r="K6" s="138">
        <v>2360.2460000000001</v>
      </c>
      <c r="L6" s="110">
        <v>5047.1629999999996</v>
      </c>
      <c r="M6" s="110">
        <v>129498.12300000001</v>
      </c>
      <c r="N6" s="138">
        <v>144070.90400000001</v>
      </c>
      <c r="O6" s="136"/>
      <c r="P6" s="136"/>
      <c r="Q6" s="136"/>
      <c r="R6" s="136"/>
      <c r="S6" s="136"/>
      <c r="T6" s="136"/>
      <c r="U6" s="136"/>
      <c r="V6" s="136"/>
      <c r="W6" s="136"/>
      <c r="X6" s="136"/>
      <c r="Y6" s="136"/>
      <c r="Z6" s="136"/>
      <c r="AA6" s="136"/>
      <c r="AB6" s="136"/>
      <c r="AC6" s="136"/>
      <c r="AD6" s="136"/>
      <c r="AE6" s="136"/>
      <c r="AF6" s="136"/>
    </row>
    <row r="7" spans="1:32" x14ac:dyDescent="0.2">
      <c r="A7" s="151" t="str">
        <f>[1]m3!A8</f>
        <v>Belgium</v>
      </c>
      <c r="B7" s="110" t="s">
        <v>28</v>
      </c>
      <c r="C7" s="110" t="s">
        <v>28</v>
      </c>
      <c r="D7" s="138">
        <v>113.126</v>
      </c>
      <c r="E7" s="138">
        <v>98.909000000000006</v>
      </c>
      <c r="F7" s="110" t="s">
        <v>28</v>
      </c>
      <c r="G7" s="110" t="s">
        <v>28</v>
      </c>
      <c r="H7" s="110">
        <v>695.7474840000001</v>
      </c>
      <c r="I7" s="110">
        <v>2094.278186</v>
      </c>
      <c r="J7" s="138">
        <v>11677.751899999999</v>
      </c>
      <c r="K7" s="138">
        <v>2209.4229999999998</v>
      </c>
      <c r="L7" s="110">
        <v>126.931</v>
      </c>
      <c r="M7" s="110">
        <v>8524.027</v>
      </c>
      <c r="N7" s="138">
        <v>10959.29</v>
      </c>
      <c r="O7" s="136"/>
      <c r="P7" s="136"/>
      <c r="Q7" s="136"/>
      <c r="R7" s="136"/>
      <c r="S7" s="136"/>
      <c r="T7" s="136"/>
      <c r="U7" s="136"/>
      <c r="V7" s="136"/>
      <c r="W7" s="136"/>
      <c r="X7" s="136"/>
      <c r="Y7" s="136"/>
      <c r="Z7" s="136"/>
      <c r="AA7" s="136"/>
      <c r="AB7" s="136"/>
      <c r="AC7" s="136"/>
      <c r="AD7" s="136"/>
      <c r="AE7" s="136"/>
      <c r="AF7" s="136"/>
    </row>
    <row r="8" spans="1:32" x14ac:dyDescent="0.2">
      <c r="A8" s="151" t="str">
        <f>[1]m3!A9</f>
        <v>Bolivia</v>
      </c>
      <c r="B8" s="110" t="s">
        <v>28</v>
      </c>
      <c r="C8" s="110" t="s">
        <v>28</v>
      </c>
      <c r="D8" s="138">
        <v>20.914000000000001</v>
      </c>
      <c r="E8" s="138">
        <v>41.435000000000002</v>
      </c>
      <c r="F8" s="110" t="s">
        <v>28</v>
      </c>
      <c r="G8" s="110" t="s">
        <v>28</v>
      </c>
      <c r="H8" s="110">
        <v>3309.3222900000001</v>
      </c>
      <c r="I8" s="110">
        <v>4044.9899490000003</v>
      </c>
      <c r="J8" s="138">
        <v>105.35599999999999</v>
      </c>
      <c r="K8" s="138">
        <v>68.647000000000006</v>
      </c>
      <c r="L8" s="110">
        <v>6.5259999999999998</v>
      </c>
      <c r="M8" s="110">
        <v>1080.3009999999999</v>
      </c>
      <c r="N8" s="138">
        <v>1196.9089999999999</v>
      </c>
      <c r="O8" s="136"/>
      <c r="P8" s="136"/>
      <c r="Q8" s="136"/>
      <c r="R8" s="136"/>
      <c r="S8" s="136"/>
      <c r="T8" s="136"/>
      <c r="U8" s="136"/>
      <c r="V8" s="136"/>
      <c r="W8" s="136"/>
      <c r="X8" s="136"/>
      <c r="Y8" s="136"/>
      <c r="Z8" s="136"/>
      <c r="AA8" s="136"/>
      <c r="AB8" s="136"/>
      <c r="AC8" s="136"/>
      <c r="AD8" s="136"/>
      <c r="AE8" s="136"/>
      <c r="AF8" s="136"/>
    </row>
    <row r="9" spans="1:32" x14ac:dyDescent="0.2">
      <c r="A9" s="151" t="str">
        <f>[1]m3!A10</f>
        <v>Brazil</v>
      </c>
      <c r="B9" s="110" t="s">
        <v>28</v>
      </c>
      <c r="C9" s="110" t="s">
        <v>28</v>
      </c>
      <c r="D9" s="138">
        <v>1388.703</v>
      </c>
      <c r="E9" s="138">
        <v>1973.539</v>
      </c>
      <c r="F9" s="110" t="s">
        <v>28</v>
      </c>
      <c r="G9" s="110" t="s">
        <v>28</v>
      </c>
      <c r="H9" s="110" t="s">
        <v>28</v>
      </c>
      <c r="I9" s="110" t="s">
        <v>28</v>
      </c>
      <c r="J9" s="110" t="s">
        <v>28</v>
      </c>
      <c r="K9" s="110" t="s">
        <v>28</v>
      </c>
      <c r="L9" s="110">
        <v>5.843</v>
      </c>
      <c r="M9" s="110">
        <v>6.7190000000000003</v>
      </c>
      <c r="N9" s="138">
        <v>1986.1010000000001</v>
      </c>
      <c r="O9" s="136"/>
      <c r="P9" s="136"/>
      <c r="Q9" s="136"/>
      <c r="R9" s="136"/>
      <c r="S9" s="136"/>
      <c r="T9" s="136"/>
      <c r="U9" s="136"/>
      <c r="V9" s="136"/>
      <c r="W9" s="136"/>
      <c r="X9" s="136"/>
      <c r="Y9" s="136"/>
      <c r="Z9" s="136"/>
      <c r="AA9" s="136"/>
      <c r="AB9" s="136"/>
      <c r="AC9" s="136"/>
      <c r="AD9" s="136"/>
      <c r="AE9" s="136"/>
      <c r="AF9" s="136"/>
    </row>
    <row r="10" spans="1:32" x14ac:dyDescent="0.2">
      <c r="A10" s="151" t="str">
        <f>[1]m3!A11</f>
        <v>Canada</v>
      </c>
      <c r="B10" s="110">
        <v>246.69900000000001</v>
      </c>
      <c r="C10" s="110">
        <v>114.967</v>
      </c>
      <c r="D10" s="138">
        <v>28714.433099999998</v>
      </c>
      <c r="E10" s="138">
        <v>36598.398999999998</v>
      </c>
      <c r="F10" s="110">
        <v>5538.4380000000001</v>
      </c>
      <c r="G10" s="110">
        <v>4253.5119999999997</v>
      </c>
      <c r="H10" s="110">
        <v>2833.9766649999997</v>
      </c>
      <c r="I10" s="110">
        <v>5749.6769329999997</v>
      </c>
      <c r="J10" s="138">
        <v>696.58100000000002</v>
      </c>
      <c r="K10" s="138">
        <v>225.482</v>
      </c>
      <c r="L10" s="110">
        <v>119.08</v>
      </c>
      <c r="M10" s="110">
        <v>2083.7759999999998</v>
      </c>
      <c r="N10" s="138">
        <v>39141.703999999998</v>
      </c>
      <c r="O10" s="136"/>
      <c r="P10" s="136"/>
      <c r="Q10" s="136"/>
      <c r="R10" s="136"/>
      <c r="S10" s="136"/>
      <c r="T10" s="136"/>
      <c r="U10" s="136"/>
      <c r="V10" s="136"/>
      <c r="W10" s="136"/>
      <c r="X10" s="136"/>
      <c r="Y10" s="136"/>
      <c r="Z10" s="136"/>
      <c r="AA10" s="136"/>
      <c r="AB10" s="136"/>
      <c r="AC10" s="136"/>
      <c r="AD10" s="136"/>
      <c r="AE10" s="136"/>
      <c r="AF10" s="136"/>
    </row>
    <row r="11" spans="1:32" x14ac:dyDescent="0.2">
      <c r="A11" s="151" t="str">
        <f>[1]m3!A12</f>
        <v>Chile</v>
      </c>
      <c r="B11" s="110" t="s">
        <v>28</v>
      </c>
      <c r="C11" s="110" t="s">
        <v>28</v>
      </c>
      <c r="D11" s="138">
        <v>3216.873</v>
      </c>
      <c r="E11" s="138">
        <v>1982.9580000000001</v>
      </c>
      <c r="F11" s="110">
        <v>44890.864000000001</v>
      </c>
      <c r="G11" s="110">
        <v>34911.165999999997</v>
      </c>
      <c r="H11" s="110">
        <v>0</v>
      </c>
      <c r="I11" s="110">
        <v>1.135</v>
      </c>
      <c r="J11" s="138">
        <v>27853.452000000001</v>
      </c>
      <c r="K11" s="138">
        <v>25526.300999999999</v>
      </c>
      <c r="L11" s="110">
        <v>7.7830000000000004</v>
      </c>
      <c r="M11" s="110">
        <v>3522.9859999999999</v>
      </c>
      <c r="N11" s="138">
        <v>31040.027999999998</v>
      </c>
      <c r="O11" s="136"/>
      <c r="P11" s="136"/>
      <c r="Q11" s="136"/>
      <c r="R11" s="136"/>
      <c r="S11" s="136"/>
      <c r="T11" s="136"/>
      <c r="U11" s="136"/>
      <c r="V11" s="136"/>
      <c r="W11" s="136"/>
      <c r="X11" s="136"/>
      <c r="Y11" s="136"/>
      <c r="Z11" s="136"/>
      <c r="AA11" s="136"/>
      <c r="AB11" s="136"/>
      <c r="AC11" s="136"/>
      <c r="AD11" s="136"/>
      <c r="AE11" s="136"/>
      <c r="AF11" s="136"/>
    </row>
    <row r="12" spans="1:32" x14ac:dyDescent="0.2">
      <c r="A12" s="151" t="str">
        <f>[1]m3!A13</f>
        <v>China, People's Republic of</v>
      </c>
      <c r="B12" s="110">
        <v>253.38499999999999</v>
      </c>
      <c r="C12" s="110">
        <v>35.502000000000002</v>
      </c>
      <c r="D12" s="138">
        <v>623.95489999999995</v>
      </c>
      <c r="E12" s="138">
        <v>305.012</v>
      </c>
      <c r="F12" s="110" t="s">
        <v>28</v>
      </c>
      <c r="G12" s="110" t="s">
        <v>28</v>
      </c>
      <c r="H12" s="110">
        <v>51565.100366999999</v>
      </c>
      <c r="I12" s="110">
        <v>82490.152744999999</v>
      </c>
      <c r="J12" s="138">
        <v>61691.780200000001</v>
      </c>
      <c r="K12" s="138">
        <v>16742.311000000002</v>
      </c>
      <c r="L12" s="110">
        <v>182448.96599999999</v>
      </c>
      <c r="M12" s="110">
        <v>115292.882</v>
      </c>
      <c r="N12" s="138">
        <v>314824.67300000001</v>
      </c>
      <c r="O12" s="136"/>
      <c r="P12" s="136"/>
      <c r="Q12" s="136"/>
      <c r="R12" s="136"/>
      <c r="S12" s="136"/>
      <c r="T12" s="136"/>
      <c r="U12" s="136"/>
      <c r="V12" s="136"/>
      <c r="W12" s="136"/>
      <c r="X12" s="136"/>
      <c r="Y12" s="136"/>
      <c r="Z12" s="136"/>
      <c r="AA12" s="136"/>
      <c r="AB12" s="136"/>
      <c r="AC12" s="136"/>
      <c r="AD12" s="136"/>
      <c r="AE12" s="136"/>
      <c r="AF12" s="136"/>
    </row>
    <row r="13" spans="1:32" x14ac:dyDescent="0.2">
      <c r="A13" s="151" t="str">
        <f>[1]m3!A14</f>
        <v>Czech Republic</v>
      </c>
      <c r="B13" s="110" t="s">
        <v>28</v>
      </c>
      <c r="C13" s="110" t="s">
        <v>28</v>
      </c>
      <c r="D13" s="138">
        <v>3</v>
      </c>
      <c r="E13" s="138">
        <v>2.5350000000000001</v>
      </c>
      <c r="F13" s="110" t="s">
        <v>28</v>
      </c>
      <c r="G13" s="110" t="s">
        <v>28</v>
      </c>
      <c r="H13" s="110" t="s">
        <v>28</v>
      </c>
      <c r="I13" s="110" t="s">
        <v>28</v>
      </c>
      <c r="J13" s="138">
        <v>0</v>
      </c>
      <c r="K13" s="138">
        <v>3.2389999999999999</v>
      </c>
      <c r="L13" s="110">
        <v>140.90899999999999</v>
      </c>
      <c r="M13" s="110">
        <v>1998.7339999999999</v>
      </c>
      <c r="N13" s="138">
        <v>2145.4169999999999</v>
      </c>
      <c r="O13" s="136"/>
      <c r="P13" s="136"/>
      <c r="Q13" s="136"/>
      <c r="R13" s="136"/>
      <c r="S13" s="136"/>
      <c r="T13" s="136"/>
      <c r="U13" s="136"/>
      <c r="V13" s="136"/>
      <c r="W13" s="136"/>
      <c r="X13" s="136"/>
      <c r="Y13" s="136"/>
      <c r="Z13" s="136"/>
      <c r="AA13" s="136"/>
      <c r="AB13" s="136"/>
      <c r="AC13" s="136"/>
      <c r="AD13" s="136"/>
      <c r="AE13" s="136"/>
      <c r="AF13" s="136"/>
    </row>
    <row r="14" spans="1:32" x14ac:dyDescent="0.2">
      <c r="A14" s="151" t="str">
        <f>[1]m3!A15</f>
        <v>Denmark</v>
      </c>
      <c r="B14" s="110" t="s">
        <v>28</v>
      </c>
      <c r="C14" s="110" t="s">
        <v>28</v>
      </c>
      <c r="D14" s="110" t="s">
        <v>28</v>
      </c>
      <c r="E14" s="110" t="s">
        <v>28</v>
      </c>
      <c r="F14" s="110" t="s">
        <v>28</v>
      </c>
      <c r="G14" s="110" t="s">
        <v>28</v>
      </c>
      <c r="H14" s="110" t="s">
        <v>28</v>
      </c>
      <c r="I14" s="110" t="s">
        <v>28</v>
      </c>
      <c r="J14" s="138">
        <v>2397.9189999999999</v>
      </c>
      <c r="K14" s="138">
        <v>152.416</v>
      </c>
      <c r="L14" s="110">
        <v>1121.259</v>
      </c>
      <c r="M14" s="110">
        <v>5102.7870000000003</v>
      </c>
      <c r="N14" s="138">
        <v>6376.4620000000004</v>
      </c>
      <c r="O14" s="136"/>
      <c r="P14" s="136"/>
      <c r="Q14" s="136"/>
      <c r="R14" s="136"/>
      <c r="S14" s="136"/>
      <c r="T14" s="136"/>
      <c r="U14" s="136"/>
      <c r="V14" s="136"/>
      <c r="W14" s="136"/>
      <c r="X14" s="136"/>
      <c r="Y14" s="136"/>
      <c r="Z14" s="136"/>
      <c r="AA14" s="136"/>
      <c r="AB14" s="136"/>
      <c r="AC14" s="136"/>
      <c r="AD14" s="136"/>
      <c r="AE14" s="136"/>
      <c r="AF14" s="136"/>
    </row>
    <row r="15" spans="1:32" x14ac:dyDescent="0.2">
      <c r="A15" s="151" t="str">
        <f>[1]m3!A16</f>
        <v>Fiji</v>
      </c>
      <c r="B15" s="110" t="s">
        <v>28</v>
      </c>
      <c r="C15" s="110" t="s">
        <v>28</v>
      </c>
      <c r="D15" s="138">
        <v>1948.2439999999999</v>
      </c>
      <c r="E15" s="138">
        <v>2618.1350000000002</v>
      </c>
      <c r="F15" s="110" t="s">
        <v>28</v>
      </c>
      <c r="G15" s="110" t="s">
        <v>28</v>
      </c>
      <c r="H15" s="110" t="s">
        <v>28</v>
      </c>
      <c r="I15" s="110" t="s">
        <v>28</v>
      </c>
      <c r="J15" s="138">
        <v>129.0797</v>
      </c>
      <c r="K15" s="138">
        <v>208.482</v>
      </c>
      <c r="L15" s="110">
        <v>116.49299999999999</v>
      </c>
      <c r="M15" s="110">
        <v>220.47</v>
      </c>
      <c r="N15" s="138">
        <v>3163.58</v>
      </c>
      <c r="O15" s="136"/>
      <c r="P15" s="136"/>
      <c r="Q15" s="136"/>
      <c r="R15" s="136"/>
      <c r="S15" s="136"/>
      <c r="T15" s="136"/>
      <c r="U15" s="136"/>
      <c r="V15" s="136"/>
      <c r="W15" s="136"/>
      <c r="X15" s="136"/>
      <c r="Y15" s="136"/>
      <c r="Z15" s="136"/>
      <c r="AA15" s="136"/>
      <c r="AB15" s="136"/>
      <c r="AC15" s="136"/>
      <c r="AD15" s="136"/>
      <c r="AE15" s="136"/>
      <c r="AF15" s="136"/>
    </row>
    <row r="16" spans="1:32" x14ac:dyDescent="0.2">
      <c r="A16" s="151" t="str">
        <f>[1]m3!A17</f>
        <v>Finland</v>
      </c>
      <c r="B16" s="110" t="s">
        <v>28</v>
      </c>
      <c r="C16" s="110" t="s">
        <v>28</v>
      </c>
      <c r="D16" s="138">
        <v>62.63</v>
      </c>
      <c r="E16" s="138">
        <v>79.191000000000003</v>
      </c>
      <c r="F16" s="110" t="s">
        <v>28</v>
      </c>
      <c r="G16" s="110" t="s">
        <v>28</v>
      </c>
      <c r="H16" s="110">
        <v>26177.012999999999</v>
      </c>
      <c r="I16" s="110">
        <v>32706.775100999999</v>
      </c>
      <c r="J16" s="138">
        <v>385.83100000000002</v>
      </c>
      <c r="K16" s="138">
        <v>778.38199999999995</v>
      </c>
      <c r="L16" s="110">
        <v>51.030999999999999</v>
      </c>
      <c r="M16" s="110">
        <v>2189.5120000000002</v>
      </c>
      <c r="N16" s="138">
        <v>3098.116</v>
      </c>
      <c r="O16" s="136"/>
      <c r="P16" s="136"/>
      <c r="Q16" s="136"/>
      <c r="R16" s="136"/>
      <c r="S16" s="136"/>
      <c r="T16" s="136"/>
      <c r="U16" s="136"/>
      <c r="V16" s="136"/>
      <c r="W16" s="136"/>
      <c r="X16" s="136"/>
      <c r="Y16" s="136"/>
      <c r="Z16" s="136"/>
      <c r="AA16" s="136"/>
      <c r="AB16" s="136"/>
      <c r="AC16" s="136"/>
      <c r="AD16" s="136"/>
      <c r="AE16" s="136"/>
      <c r="AF16" s="136"/>
    </row>
    <row r="17" spans="1:32" x14ac:dyDescent="0.2">
      <c r="A17" s="151" t="str">
        <f>[1]m3!A18</f>
        <v>France</v>
      </c>
      <c r="B17" s="110" t="s">
        <v>28</v>
      </c>
      <c r="C17" s="110" t="s">
        <v>28</v>
      </c>
      <c r="D17" s="138">
        <v>259.93</v>
      </c>
      <c r="E17" s="138">
        <v>379.24799999999999</v>
      </c>
      <c r="F17" s="110" t="s">
        <v>28</v>
      </c>
      <c r="G17" s="110" t="s">
        <v>28</v>
      </c>
      <c r="H17" s="110">
        <v>1645.80809</v>
      </c>
      <c r="I17" s="110">
        <v>7086.5774979999997</v>
      </c>
      <c r="J17" s="138">
        <v>57.008000000000003</v>
      </c>
      <c r="K17" s="138">
        <v>132.64500000000001</v>
      </c>
      <c r="L17" s="110">
        <v>995.35</v>
      </c>
      <c r="M17" s="110">
        <v>29353.05</v>
      </c>
      <c r="N17" s="138">
        <v>30860.292999999998</v>
      </c>
      <c r="O17" s="136"/>
      <c r="P17" s="136"/>
      <c r="Q17" s="136"/>
      <c r="R17" s="136"/>
      <c r="S17" s="136"/>
      <c r="T17" s="136"/>
      <c r="U17" s="136"/>
      <c r="V17" s="136"/>
      <c r="W17" s="136"/>
      <c r="X17" s="136"/>
      <c r="Y17" s="136"/>
      <c r="Z17" s="136"/>
      <c r="AA17" s="136"/>
      <c r="AB17" s="136"/>
      <c r="AC17" s="136"/>
      <c r="AD17" s="136"/>
      <c r="AE17" s="136"/>
      <c r="AF17" s="136"/>
    </row>
    <row r="18" spans="1:32" x14ac:dyDescent="0.2">
      <c r="A18" s="151" t="str">
        <f>[1]m3!A19</f>
        <v>Germany</v>
      </c>
      <c r="B18" s="110" t="s">
        <v>28</v>
      </c>
      <c r="C18" s="110" t="s">
        <v>28</v>
      </c>
      <c r="D18" s="138">
        <v>1050.3240000000001</v>
      </c>
      <c r="E18" s="138">
        <v>1213.1120000000001</v>
      </c>
      <c r="F18" s="110" t="s">
        <v>28</v>
      </c>
      <c r="G18" s="110" t="s">
        <v>28</v>
      </c>
      <c r="H18" s="110" t="s">
        <v>28</v>
      </c>
      <c r="I18" s="110" t="s">
        <v>28</v>
      </c>
      <c r="J18" s="110" t="s">
        <v>28</v>
      </c>
      <c r="K18" s="110" t="s">
        <v>28</v>
      </c>
      <c r="L18" s="110" t="s">
        <v>28</v>
      </c>
      <c r="M18" s="110" t="s">
        <v>28</v>
      </c>
      <c r="N18" s="138">
        <v>1213.1120000000001</v>
      </c>
      <c r="O18" s="136"/>
      <c r="P18" s="136"/>
      <c r="Q18" s="136"/>
      <c r="R18" s="136"/>
      <c r="S18" s="136"/>
      <c r="T18" s="136"/>
      <c r="U18" s="136"/>
      <c r="V18" s="136"/>
      <c r="W18" s="136"/>
      <c r="X18" s="136"/>
      <c r="Y18" s="136"/>
      <c r="Z18" s="136"/>
      <c r="AA18" s="136"/>
      <c r="AB18" s="136"/>
      <c r="AC18" s="136"/>
      <c r="AD18" s="136"/>
      <c r="AE18" s="136"/>
      <c r="AF18" s="136"/>
    </row>
    <row r="19" spans="1:32" x14ac:dyDescent="0.2">
      <c r="A19" s="151" t="str">
        <f>[1]m3!A20</f>
        <v>Guyana</v>
      </c>
      <c r="B19" s="110" t="s">
        <v>28</v>
      </c>
      <c r="C19" s="110" t="s">
        <v>28</v>
      </c>
      <c r="D19" s="138">
        <v>179.5899</v>
      </c>
      <c r="E19" s="138">
        <v>232.96100000000001</v>
      </c>
      <c r="F19" s="110">
        <v>463.68</v>
      </c>
      <c r="G19" s="110">
        <v>544.97799999999995</v>
      </c>
      <c r="H19" s="110">
        <v>5990.3735800000004</v>
      </c>
      <c r="I19" s="110">
        <v>13943.992061999999</v>
      </c>
      <c r="J19" s="138">
        <v>13866</v>
      </c>
      <c r="K19" s="138">
        <v>3609.1709999999998</v>
      </c>
      <c r="L19" s="110">
        <v>5341.6679999999997</v>
      </c>
      <c r="M19" s="110">
        <v>20719.54</v>
      </c>
      <c r="N19" s="138">
        <v>29903.34</v>
      </c>
      <c r="O19" s="136"/>
      <c r="P19" s="136"/>
      <c r="Q19" s="136"/>
      <c r="R19" s="136"/>
      <c r="S19" s="136"/>
      <c r="T19" s="136"/>
      <c r="U19" s="136"/>
      <c r="V19" s="136"/>
      <c r="W19" s="136"/>
      <c r="X19" s="136"/>
      <c r="Y19" s="136"/>
      <c r="Z19" s="136"/>
      <c r="AA19" s="136"/>
      <c r="AB19" s="136"/>
      <c r="AC19" s="136"/>
      <c r="AD19" s="136"/>
      <c r="AE19" s="136"/>
      <c r="AF19" s="136"/>
    </row>
    <row r="20" spans="1:32" x14ac:dyDescent="0.2">
      <c r="A20" s="151" t="str">
        <f>[1]m3!A21</f>
        <v>Hong Kong (Special Administrative Region)</v>
      </c>
      <c r="B20" s="110">
        <v>54.128</v>
      </c>
      <c r="C20" s="110">
        <v>98.509</v>
      </c>
      <c r="D20" s="138">
        <v>1481.2729999999999</v>
      </c>
      <c r="E20" s="138">
        <v>2350.9609999999998</v>
      </c>
      <c r="F20" s="110" t="s">
        <v>28</v>
      </c>
      <c r="G20" s="110" t="s">
        <v>28</v>
      </c>
      <c r="H20" s="110" t="s">
        <v>28</v>
      </c>
      <c r="I20" s="110" t="s">
        <v>28</v>
      </c>
      <c r="J20" s="110" t="s">
        <v>28</v>
      </c>
      <c r="K20" s="110" t="s">
        <v>28</v>
      </c>
      <c r="L20" s="110" t="s">
        <v>28</v>
      </c>
      <c r="M20" s="110">
        <v>190.15100000000001</v>
      </c>
      <c r="N20" s="138">
        <v>2639.6209999999996</v>
      </c>
      <c r="O20" s="136"/>
      <c r="P20" s="136"/>
      <c r="Q20" s="136"/>
      <c r="R20" s="136"/>
      <c r="S20" s="136"/>
      <c r="T20" s="136"/>
      <c r="U20" s="136"/>
      <c r="V20" s="136"/>
      <c r="W20" s="136"/>
      <c r="X20" s="136"/>
      <c r="Y20" s="136"/>
      <c r="Z20" s="136"/>
      <c r="AA20" s="136"/>
      <c r="AB20" s="136"/>
      <c r="AC20" s="136"/>
      <c r="AD20" s="136"/>
      <c r="AE20" s="136"/>
      <c r="AF20" s="136"/>
    </row>
    <row r="21" spans="1:32" x14ac:dyDescent="0.2">
      <c r="A21" s="151" t="str">
        <f>[1]m3!A22</f>
        <v>Hungary</v>
      </c>
      <c r="B21" s="110" t="s">
        <v>28</v>
      </c>
      <c r="C21" s="110" t="s">
        <v>28</v>
      </c>
      <c r="D21" s="110" t="s">
        <v>28</v>
      </c>
      <c r="E21" s="110" t="s">
        <v>28</v>
      </c>
      <c r="F21" s="110" t="s">
        <v>28</v>
      </c>
      <c r="G21" s="110" t="s">
        <v>28</v>
      </c>
      <c r="H21" s="110" t="s">
        <v>28</v>
      </c>
      <c r="I21" s="110" t="s">
        <v>28</v>
      </c>
      <c r="J21" s="138">
        <v>16.5</v>
      </c>
      <c r="K21" s="138">
        <v>23.631</v>
      </c>
      <c r="L21" s="110">
        <v>46.223999999999997</v>
      </c>
      <c r="M21" s="110">
        <v>1910.009</v>
      </c>
      <c r="N21" s="138">
        <v>1979.864</v>
      </c>
      <c r="O21" s="136"/>
      <c r="P21" s="136"/>
      <c r="Q21" s="136"/>
      <c r="R21" s="136"/>
      <c r="S21" s="136"/>
      <c r="T21" s="136"/>
      <c r="U21" s="136"/>
      <c r="V21" s="136"/>
      <c r="W21" s="136"/>
      <c r="X21" s="136"/>
      <c r="Y21" s="136"/>
      <c r="Z21" s="136"/>
      <c r="AA21" s="136"/>
      <c r="AB21" s="136"/>
      <c r="AC21" s="136"/>
      <c r="AD21" s="136"/>
      <c r="AE21" s="136"/>
      <c r="AF21" s="136"/>
    </row>
    <row r="22" spans="1:32" x14ac:dyDescent="0.2">
      <c r="A22" s="151" t="str">
        <f>[1]m3!A23</f>
        <v>India</v>
      </c>
      <c r="B22" s="110" t="s">
        <v>28</v>
      </c>
      <c r="C22" s="110" t="s">
        <v>28</v>
      </c>
      <c r="D22" s="138">
        <v>80</v>
      </c>
      <c r="E22" s="138">
        <v>7.6210000000000013</v>
      </c>
      <c r="F22" s="110" t="s">
        <v>28</v>
      </c>
      <c r="G22" s="110" t="s">
        <v>28</v>
      </c>
      <c r="H22" s="110" t="s">
        <v>28</v>
      </c>
      <c r="I22" s="110" t="s">
        <v>28</v>
      </c>
      <c r="J22" s="138">
        <v>1</v>
      </c>
      <c r="K22" s="138">
        <v>1.1719999999999999</v>
      </c>
      <c r="L22" s="110">
        <v>3.8290000000000002</v>
      </c>
      <c r="M22" s="110">
        <v>1363.954</v>
      </c>
      <c r="N22" s="138">
        <v>1376.576</v>
      </c>
      <c r="O22" s="136"/>
      <c r="P22" s="136"/>
      <c r="Q22" s="136"/>
      <c r="R22" s="136"/>
      <c r="S22" s="136"/>
      <c r="T22" s="136"/>
      <c r="U22" s="136"/>
      <c r="V22" s="136"/>
      <c r="W22" s="136"/>
      <c r="X22" s="136"/>
      <c r="Y22" s="136"/>
      <c r="Z22" s="136"/>
      <c r="AA22" s="136"/>
      <c r="AB22" s="136"/>
      <c r="AC22" s="136"/>
      <c r="AD22" s="136"/>
      <c r="AE22" s="136"/>
      <c r="AF22" s="136"/>
    </row>
    <row r="23" spans="1:32" x14ac:dyDescent="0.2">
      <c r="A23" s="151" t="str">
        <f>[1]m3!A24</f>
        <v>Indonesia</v>
      </c>
      <c r="B23" s="110" t="s">
        <v>28</v>
      </c>
      <c r="C23" s="110" t="s">
        <v>28</v>
      </c>
      <c r="D23" s="110" t="s">
        <v>28</v>
      </c>
      <c r="E23" s="110" t="s">
        <v>28</v>
      </c>
      <c r="F23" s="110" t="s">
        <v>28</v>
      </c>
      <c r="G23" s="110" t="s">
        <v>28</v>
      </c>
      <c r="H23" s="110" t="s">
        <v>28</v>
      </c>
      <c r="I23" s="110" t="s">
        <v>28</v>
      </c>
      <c r="J23" s="138">
        <v>113.53100000000001</v>
      </c>
      <c r="K23" s="138">
        <v>43.499000000000002</v>
      </c>
      <c r="L23" s="110">
        <v>2456.9630000000002</v>
      </c>
      <c r="M23" s="110">
        <v>1918.45</v>
      </c>
      <c r="N23" s="138">
        <v>4418.9120000000003</v>
      </c>
      <c r="O23" s="136"/>
      <c r="P23" s="136"/>
      <c r="Q23" s="136"/>
      <c r="R23" s="136"/>
      <c r="S23" s="136"/>
      <c r="T23" s="136"/>
      <c r="U23" s="136"/>
      <c r="V23" s="136"/>
      <c r="W23" s="136"/>
      <c r="X23" s="136"/>
      <c r="Y23" s="136"/>
      <c r="Z23" s="136"/>
      <c r="AA23" s="136"/>
      <c r="AB23" s="136"/>
      <c r="AC23" s="136"/>
      <c r="AD23" s="136"/>
      <c r="AE23" s="136"/>
      <c r="AF23" s="136"/>
    </row>
    <row r="24" spans="1:32" x14ac:dyDescent="0.2">
      <c r="A24" s="151" t="str">
        <f>[1]m3!A25</f>
        <v>Italy</v>
      </c>
      <c r="B24" s="110" t="s">
        <v>28</v>
      </c>
      <c r="C24" s="110" t="s">
        <v>28</v>
      </c>
      <c r="D24" s="138">
        <v>2904.3694999999998</v>
      </c>
      <c r="E24" s="138">
        <v>6503.7449999999999</v>
      </c>
      <c r="F24" s="110" t="s">
        <v>28</v>
      </c>
      <c r="G24" s="110" t="s">
        <v>28</v>
      </c>
      <c r="H24" s="138">
        <v>29522.724733999999</v>
      </c>
      <c r="I24" s="138">
        <v>42703.938277000001</v>
      </c>
      <c r="J24" s="138">
        <v>656.31600000000003</v>
      </c>
      <c r="K24" s="138">
        <v>878.18899999999996</v>
      </c>
      <c r="L24" s="138">
        <v>9306.7999999999993</v>
      </c>
      <c r="M24" s="138">
        <v>34958.815999999999</v>
      </c>
      <c r="N24" s="138">
        <v>51647.55</v>
      </c>
      <c r="O24" s="136"/>
      <c r="P24" s="136"/>
      <c r="Q24" s="136"/>
      <c r="R24" s="136"/>
      <c r="S24" s="136"/>
      <c r="T24" s="136"/>
      <c r="U24" s="136"/>
      <c r="V24" s="136"/>
      <c r="W24" s="136"/>
      <c r="X24" s="136"/>
      <c r="Y24" s="136"/>
      <c r="Z24" s="136"/>
      <c r="AA24" s="136"/>
      <c r="AB24" s="136"/>
      <c r="AC24" s="136"/>
      <c r="AD24" s="136"/>
      <c r="AE24" s="136"/>
      <c r="AF24" s="136"/>
    </row>
    <row r="25" spans="1:32" x14ac:dyDescent="0.2">
      <c r="A25" s="151" t="str">
        <f>[1]m3!A26</f>
        <v>Japan</v>
      </c>
      <c r="B25" s="110" t="s">
        <v>28</v>
      </c>
      <c r="C25" s="110" t="s">
        <v>28</v>
      </c>
      <c r="D25" s="138">
        <v>288.98</v>
      </c>
      <c r="E25" s="138">
        <v>522.18299999999999</v>
      </c>
      <c r="F25" s="110" t="s">
        <v>28</v>
      </c>
      <c r="G25" s="110" t="s">
        <v>28</v>
      </c>
      <c r="H25" s="110">
        <v>7753.755048</v>
      </c>
      <c r="I25" s="110">
        <v>13403.864474</v>
      </c>
      <c r="J25" s="138">
        <v>1282.1003000000001</v>
      </c>
      <c r="K25" s="138">
        <v>952.84699999999998</v>
      </c>
      <c r="L25" s="110">
        <v>6307.5370000000003</v>
      </c>
      <c r="M25" s="110">
        <v>8457.8629999999994</v>
      </c>
      <c r="N25" s="138">
        <v>16240.43</v>
      </c>
      <c r="O25" s="136"/>
      <c r="P25" s="136"/>
      <c r="Q25" s="136"/>
      <c r="R25" s="136"/>
      <c r="S25" s="136"/>
      <c r="T25" s="136"/>
      <c r="U25" s="136"/>
      <c r="V25" s="136"/>
      <c r="W25" s="136"/>
      <c r="X25" s="136"/>
      <c r="Y25" s="136"/>
      <c r="Z25" s="136"/>
      <c r="AA25" s="136"/>
      <c r="AB25" s="136"/>
      <c r="AC25" s="136"/>
      <c r="AD25" s="136"/>
      <c r="AE25" s="136"/>
      <c r="AF25" s="136"/>
    </row>
    <row r="26" spans="1:32" x14ac:dyDescent="0.2">
      <c r="A26" s="151" t="str">
        <f>[1]m3!A27</f>
        <v>Korea, Republic of</v>
      </c>
      <c r="B26" s="110" t="s">
        <v>28</v>
      </c>
      <c r="C26" s="110" t="s">
        <v>28</v>
      </c>
      <c r="D26" s="110" t="s">
        <v>28</v>
      </c>
      <c r="E26" s="110" t="s">
        <v>28</v>
      </c>
      <c r="F26" s="110" t="s">
        <v>28</v>
      </c>
      <c r="G26" s="110" t="s">
        <v>28</v>
      </c>
      <c r="H26" s="110">
        <v>33230.019659000005</v>
      </c>
      <c r="I26" s="110">
        <v>44837.558766000002</v>
      </c>
      <c r="J26" s="110" t="s">
        <v>28</v>
      </c>
      <c r="K26" s="110" t="s">
        <v>28</v>
      </c>
      <c r="L26" s="110">
        <v>138.37899999999999</v>
      </c>
      <c r="M26" s="110">
        <v>1901.421</v>
      </c>
      <c r="N26" s="138">
        <v>2039.8020000000001</v>
      </c>
      <c r="O26" s="136"/>
      <c r="P26" s="136"/>
      <c r="Q26" s="136"/>
      <c r="R26" s="136"/>
      <c r="S26" s="136"/>
      <c r="T26" s="136"/>
      <c r="U26" s="136"/>
      <c r="V26" s="136"/>
      <c r="W26" s="136"/>
      <c r="X26" s="136"/>
      <c r="Y26" s="136"/>
      <c r="Z26" s="136"/>
      <c r="AA26" s="136"/>
      <c r="AB26" s="136"/>
      <c r="AC26" s="136"/>
      <c r="AD26" s="136"/>
      <c r="AE26" s="136"/>
      <c r="AF26" s="136"/>
    </row>
    <row r="27" spans="1:32" x14ac:dyDescent="0.2">
      <c r="A27" s="151" t="str">
        <f>[1]m3!A28</f>
        <v>Latvia</v>
      </c>
      <c r="B27" s="110" t="s">
        <v>28</v>
      </c>
      <c r="C27" s="110" t="s">
        <v>28</v>
      </c>
      <c r="D27" s="110" t="s">
        <v>28</v>
      </c>
      <c r="E27" s="110" t="s">
        <v>28</v>
      </c>
      <c r="F27" s="110" t="s">
        <v>28</v>
      </c>
      <c r="G27" s="110" t="s">
        <v>28</v>
      </c>
      <c r="H27" s="110">
        <v>19654.007407000001</v>
      </c>
      <c r="I27" s="110">
        <v>24292.089822000002</v>
      </c>
      <c r="J27" s="138">
        <v>378.3</v>
      </c>
      <c r="K27" s="138">
        <v>119.721</v>
      </c>
      <c r="L27" s="110">
        <v>293.77199999999999</v>
      </c>
      <c r="M27" s="110">
        <v>3820.444</v>
      </c>
      <c r="N27" s="138">
        <v>4233.9369999999999</v>
      </c>
      <c r="O27" s="136"/>
      <c r="P27" s="136"/>
      <c r="Q27" s="136"/>
      <c r="R27" s="136"/>
      <c r="S27" s="136"/>
      <c r="T27" s="136"/>
      <c r="U27" s="136"/>
      <c r="V27" s="136"/>
      <c r="W27" s="136"/>
      <c r="X27" s="136"/>
      <c r="Y27" s="136"/>
      <c r="Z27" s="136"/>
      <c r="AA27" s="136"/>
      <c r="AB27" s="136"/>
      <c r="AC27" s="136"/>
      <c r="AD27" s="136"/>
      <c r="AE27" s="136"/>
      <c r="AF27" s="136"/>
    </row>
    <row r="28" spans="1:32" x14ac:dyDescent="0.2">
      <c r="A28" s="151" t="str">
        <f>[1]m3!A29</f>
        <v>Malaysia</v>
      </c>
      <c r="B28" s="110" t="s">
        <v>28</v>
      </c>
      <c r="C28" s="110" t="s">
        <v>28</v>
      </c>
      <c r="D28" s="110" t="s">
        <v>28</v>
      </c>
      <c r="E28" s="110" t="s">
        <v>28</v>
      </c>
      <c r="F28" s="110" t="s">
        <v>28</v>
      </c>
      <c r="G28" s="110" t="s">
        <v>28</v>
      </c>
      <c r="H28" s="110" t="s">
        <v>28</v>
      </c>
      <c r="I28" s="110" t="s">
        <v>28</v>
      </c>
      <c r="J28" s="138">
        <v>873.40700000000004</v>
      </c>
      <c r="K28" s="138">
        <v>1282.1110000000001</v>
      </c>
      <c r="L28" s="110">
        <v>294.66800000000001</v>
      </c>
      <c r="M28" s="110">
        <v>3.004</v>
      </c>
      <c r="N28" s="138">
        <v>1579.7829999999999</v>
      </c>
      <c r="O28" s="136"/>
      <c r="P28" s="136"/>
      <c r="Q28" s="136"/>
      <c r="R28" s="136"/>
      <c r="S28" s="136"/>
      <c r="T28" s="136"/>
      <c r="U28" s="136"/>
      <c r="V28" s="136"/>
      <c r="W28" s="136"/>
      <c r="X28" s="136"/>
      <c r="Y28" s="136"/>
      <c r="Z28" s="136"/>
      <c r="AA28" s="136"/>
      <c r="AB28" s="136"/>
      <c r="AC28" s="136"/>
      <c r="AD28" s="136"/>
      <c r="AE28" s="136"/>
      <c r="AF28" s="136"/>
    </row>
    <row r="29" spans="1:32" x14ac:dyDescent="0.2">
      <c r="A29" s="151" t="str">
        <f>[1]m3!A30</f>
        <v>Myanmar</v>
      </c>
      <c r="B29" s="110">
        <v>11.045999999999999</v>
      </c>
      <c r="C29" s="110">
        <v>3.3879999999999999</v>
      </c>
      <c r="D29" s="138">
        <v>528.04999999999995</v>
      </c>
      <c r="E29" s="138">
        <v>789.86300000000006</v>
      </c>
      <c r="F29" s="110" t="s">
        <v>28</v>
      </c>
      <c r="G29" s="110" t="s">
        <v>28</v>
      </c>
      <c r="H29" s="110">
        <v>4429.2963849999996</v>
      </c>
      <c r="I29" s="110">
        <v>9202.0578650000007</v>
      </c>
      <c r="J29" s="138">
        <v>5702.8014000000003</v>
      </c>
      <c r="K29" s="138">
        <v>3181.596</v>
      </c>
      <c r="L29" s="110">
        <v>16581.327000000001</v>
      </c>
      <c r="M29" s="110">
        <v>26681.03</v>
      </c>
      <c r="N29" s="138">
        <v>47237.203999999998</v>
      </c>
      <c r="O29" s="136"/>
      <c r="P29" s="136"/>
      <c r="Q29" s="136"/>
      <c r="R29" s="136"/>
      <c r="S29" s="136"/>
      <c r="T29" s="136"/>
      <c r="U29" s="136"/>
      <c r="V29" s="136"/>
      <c r="W29" s="136"/>
      <c r="X29" s="136"/>
      <c r="Y29" s="136"/>
      <c r="Z29" s="136"/>
      <c r="AA29" s="136"/>
      <c r="AB29" s="136"/>
      <c r="AC29" s="136"/>
      <c r="AD29" s="136"/>
      <c r="AE29" s="136"/>
      <c r="AF29" s="136"/>
    </row>
    <row r="30" spans="1:32" x14ac:dyDescent="0.2">
      <c r="A30" s="151" t="str">
        <f>[1]m3!A31</f>
        <v>Netherlands</v>
      </c>
      <c r="B30" s="110">
        <v>86</v>
      </c>
      <c r="C30" s="110">
        <v>499.44799999999998</v>
      </c>
      <c r="D30" s="138">
        <v>75.093999999999994</v>
      </c>
      <c r="E30" s="138">
        <v>603.70500000000004</v>
      </c>
      <c r="F30" s="110" t="s">
        <v>28</v>
      </c>
      <c r="G30" s="110" t="s">
        <v>28</v>
      </c>
      <c r="H30" s="110" t="s">
        <v>28</v>
      </c>
      <c r="I30" s="110" t="s">
        <v>28</v>
      </c>
      <c r="J30" s="138">
        <v>454.27100000000002</v>
      </c>
      <c r="K30" s="138">
        <v>488.76900000000001</v>
      </c>
      <c r="L30" s="110">
        <v>3.548</v>
      </c>
      <c r="M30" s="110" t="s">
        <v>28</v>
      </c>
      <c r="N30" s="138">
        <v>1595.47</v>
      </c>
      <c r="O30" s="136"/>
      <c r="P30" s="136"/>
      <c r="Q30" s="136"/>
      <c r="R30" s="136"/>
      <c r="S30" s="136"/>
      <c r="T30" s="136"/>
      <c r="U30" s="136"/>
      <c r="V30" s="136"/>
      <c r="W30" s="136"/>
      <c r="X30" s="136"/>
      <c r="Y30" s="136"/>
      <c r="Z30" s="136"/>
      <c r="AA30" s="136"/>
      <c r="AB30" s="136"/>
      <c r="AC30" s="136"/>
      <c r="AD30" s="136"/>
      <c r="AE30" s="136"/>
      <c r="AF30" s="136"/>
    </row>
    <row r="31" spans="1:32" x14ac:dyDescent="0.2">
      <c r="A31" s="151" t="str">
        <f>[1]m3!A32</f>
        <v>New Zealand</v>
      </c>
      <c r="B31" s="110" t="s">
        <v>28</v>
      </c>
      <c r="C31" s="110" t="s">
        <v>28</v>
      </c>
      <c r="D31" s="138">
        <v>271.19200000000001</v>
      </c>
      <c r="E31" s="138">
        <v>470.45800000000003</v>
      </c>
      <c r="F31" s="110" t="s">
        <v>28</v>
      </c>
      <c r="G31" s="110" t="s">
        <v>28</v>
      </c>
      <c r="H31" s="110">
        <v>1212.610588</v>
      </c>
      <c r="I31" s="110">
        <v>2672.6579879999999</v>
      </c>
      <c r="J31" s="138">
        <v>172.1</v>
      </c>
      <c r="K31" s="138">
        <v>2.101</v>
      </c>
      <c r="L31" s="110">
        <v>451.56700000000001</v>
      </c>
      <c r="M31" s="110">
        <v>3855.4470000000001</v>
      </c>
      <c r="N31" s="138">
        <v>4779.5730000000003</v>
      </c>
      <c r="O31" s="136"/>
      <c r="P31" s="136"/>
      <c r="Q31" s="136"/>
      <c r="R31" s="136"/>
      <c r="S31" s="136"/>
      <c r="T31" s="136"/>
      <c r="U31" s="136"/>
      <c r="V31" s="136"/>
      <c r="W31" s="136"/>
      <c r="X31" s="136"/>
      <c r="Y31" s="136"/>
      <c r="Z31" s="136"/>
      <c r="AA31" s="136"/>
      <c r="AB31" s="136"/>
      <c r="AC31" s="136"/>
      <c r="AD31" s="136"/>
      <c r="AE31" s="136"/>
      <c r="AF31" s="136"/>
    </row>
    <row r="32" spans="1:32" x14ac:dyDescent="0.2">
      <c r="A32" s="151" t="str">
        <f>[1]m3!A33</f>
        <v>Papua New Guinea</v>
      </c>
      <c r="B32" s="110">
        <v>26</v>
      </c>
      <c r="C32" s="110">
        <v>4.0659999999999998</v>
      </c>
      <c r="D32" s="138">
        <v>199.71600000000001</v>
      </c>
      <c r="E32" s="138">
        <v>163.78899999999999</v>
      </c>
      <c r="F32" s="110" t="s">
        <v>28</v>
      </c>
      <c r="G32" s="110" t="s">
        <v>28</v>
      </c>
      <c r="H32" s="110" t="s">
        <v>28</v>
      </c>
      <c r="I32" s="110" t="s">
        <v>28</v>
      </c>
      <c r="J32" s="138">
        <v>8.2360000000000007</v>
      </c>
      <c r="K32" s="138">
        <v>84.313000000000002</v>
      </c>
      <c r="L32" s="110">
        <v>242.77099999999999</v>
      </c>
      <c r="M32" s="110">
        <v>1600.7180000000001</v>
      </c>
      <c r="N32" s="138">
        <v>2095.6570000000002</v>
      </c>
      <c r="O32" s="136"/>
      <c r="P32" s="136"/>
      <c r="Q32" s="136"/>
      <c r="R32" s="136"/>
      <c r="S32" s="136"/>
      <c r="T32" s="136"/>
      <c r="U32" s="136"/>
      <c r="V32" s="136"/>
      <c r="W32" s="136"/>
      <c r="X32" s="136"/>
      <c r="Y32" s="136"/>
      <c r="Z32" s="136"/>
      <c r="AA32" s="136"/>
      <c r="AB32" s="136"/>
      <c r="AC32" s="136"/>
      <c r="AD32" s="136"/>
      <c r="AE32" s="136"/>
      <c r="AF32" s="136"/>
    </row>
    <row r="33" spans="1:32" x14ac:dyDescent="0.2">
      <c r="A33" s="151" t="str">
        <f>[1]m3!A34</f>
        <v>Peru</v>
      </c>
      <c r="B33" s="110" t="s">
        <v>28</v>
      </c>
      <c r="C33" s="110" t="s">
        <v>28</v>
      </c>
      <c r="D33" s="138">
        <v>629.01</v>
      </c>
      <c r="E33" s="138">
        <v>1470.5170000000001</v>
      </c>
      <c r="F33" s="110" t="s">
        <v>28</v>
      </c>
      <c r="G33" s="110" t="s">
        <v>28</v>
      </c>
      <c r="H33" s="110" t="s">
        <v>28</v>
      </c>
      <c r="I33" s="110" t="s">
        <v>28</v>
      </c>
      <c r="J33" s="110" t="s">
        <v>28</v>
      </c>
      <c r="K33" s="110" t="s">
        <v>28</v>
      </c>
      <c r="L33" s="110">
        <v>21.234999999999999</v>
      </c>
      <c r="M33" s="110">
        <v>210.464</v>
      </c>
      <c r="N33" s="138">
        <v>1702.2159999999999</v>
      </c>
      <c r="O33" s="136"/>
      <c r="P33" s="136"/>
      <c r="Q33" s="136"/>
      <c r="R33" s="136"/>
      <c r="S33" s="136"/>
      <c r="T33" s="136"/>
      <c r="U33" s="136"/>
      <c r="V33" s="136"/>
      <c r="W33" s="136"/>
      <c r="X33" s="136"/>
      <c r="Y33" s="136"/>
      <c r="Z33" s="136"/>
      <c r="AA33" s="136"/>
      <c r="AB33" s="136"/>
      <c r="AC33" s="136"/>
      <c r="AD33" s="136"/>
      <c r="AE33" s="136"/>
      <c r="AF33" s="136"/>
    </row>
    <row r="34" spans="1:32" x14ac:dyDescent="0.2">
      <c r="A34" s="151" t="str">
        <f>[1]m3!A35</f>
        <v>Philippines</v>
      </c>
      <c r="B34" s="110" t="s">
        <v>28</v>
      </c>
      <c r="C34" s="110" t="s">
        <v>28</v>
      </c>
      <c r="D34" s="110" t="s">
        <v>28</v>
      </c>
      <c r="E34" s="110" t="s">
        <v>28</v>
      </c>
      <c r="F34" s="110" t="s">
        <v>28</v>
      </c>
      <c r="G34" s="110" t="s">
        <v>28</v>
      </c>
      <c r="H34" s="110" t="s">
        <v>28</v>
      </c>
      <c r="I34" s="110" t="s">
        <v>28</v>
      </c>
      <c r="J34" s="138">
        <v>1514.4764</v>
      </c>
      <c r="K34" s="138">
        <v>868.33500000000004</v>
      </c>
      <c r="L34" s="110">
        <v>1681.615</v>
      </c>
      <c r="M34" s="110">
        <v>5551.48</v>
      </c>
      <c r="N34" s="138">
        <v>8101.4299999999994</v>
      </c>
      <c r="O34" s="136"/>
      <c r="P34" s="136"/>
      <c r="Q34" s="136"/>
      <c r="R34" s="136"/>
      <c r="S34" s="136"/>
      <c r="T34" s="136"/>
      <c r="U34" s="136"/>
      <c r="V34" s="136"/>
      <c r="W34" s="136"/>
      <c r="X34" s="136"/>
      <c r="Y34" s="136"/>
      <c r="Z34" s="136"/>
      <c r="AA34" s="136"/>
      <c r="AB34" s="136"/>
      <c r="AC34" s="136"/>
      <c r="AD34" s="136"/>
      <c r="AE34" s="136"/>
      <c r="AF34" s="136"/>
    </row>
    <row r="35" spans="1:32" x14ac:dyDescent="0.2">
      <c r="A35" s="151" t="str">
        <f>[1]m3!A36</f>
        <v>Poland</v>
      </c>
      <c r="B35" s="110" t="s">
        <v>28</v>
      </c>
      <c r="C35" s="110" t="s">
        <v>28</v>
      </c>
      <c r="D35" s="110" t="s">
        <v>28</v>
      </c>
      <c r="E35" s="110" t="s">
        <v>28</v>
      </c>
      <c r="F35" s="110" t="s">
        <v>28</v>
      </c>
      <c r="G35" s="110" t="s">
        <v>28</v>
      </c>
      <c r="H35" s="110" t="s">
        <v>28</v>
      </c>
      <c r="I35" s="110" t="s">
        <v>28</v>
      </c>
      <c r="J35" s="138">
        <v>1572.5530000000001</v>
      </c>
      <c r="K35" s="138">
        <v>968.12400000000002</v>
      </c>
      <c r="L35" s="110">
        <v>6.5650000000000004</v>
      </c>
      <c r="M35" s="110">
        <v>1794.1579999999999</v>
      </c>
      <c r="N35" s="138">
        <v>2768.8469999999998</v>
      </c>
      <c r="O35" s="136"/>
      <c r="P35" s="136"/>
      <c r="Q35" s="136"/>
      <c r="R35" s="136"/>
      <c r="S35" s="136"/>
      <c r="T35" s="136"/>
      <c r="U35" s="136"/>
      <c r="V35" s="136"/>
      <c r="W35" s="136"/>
      <c r="X35" s="136"/>
      <c r="Y35" s="136"/>
      <c r="Z35" s="136"/>
      <c r="AA35" s="136"/>
      <c r="AB35" s="136"/>
      <c r="AC35" s="136"/>
      <c r="AD35" s="136"/>
      <c r="AE35" s="136"/>
      <c r="AF35" s="136"/>
    </row>
    <row r="36" spans="1:32" x14ac:dyDescent="0.2">
      <c r="A36" s="151" t="str">
        <f>[1]m3!A37</f>
        <v>Portugal</v>
      </c>
      <c r="B36" s="110" t="s">
        <v>28</v>
      </c>
      <c r="C36" s="110" t="s">
        <v>28</v>
      </c>
      <c r="D36" s="110" t="s">
        <v>28</v>
      </c>
      <c r="E36" s="110" t="s">
        <v>28</v>
      </c>
      <c r="F36" s="110" t="s">
        <v>28</v>
      </c>
      <c r="G36" s="110" t="s">
        <v>28</v>
      </c>
      <c r="H36" s="110" t="s">
        <v>28</v>
      </c>
      <c r="I36" s="110" t="s">
        <v>28</v>
      </c>
      <c r="J36" s="138">
        <v>43543.093999999997</v>
      </c>
      <c r="K36" s="138">
        <v>1401.442</v>
      </c>
      <c r="L36" s="110" t="s">
        <v>28</v>
      </c>
      <c r="M36" s="110">
        <v>14.906000000000001</v>
      </c>
      <c r="N36" s="138">
        <v>1416.348</v>
      </c>
      <c r="O36" s="136"/>
      <c r="P36" s="136"/>
      <c r="Q36" s="136"/>
      <c r="R36" s="136"/>
      <c r="S36" s="136"/>
      <c r="T36" s="136"/>
      <c r="U36" s="136"/>
      <c r="V36" s="136"/>
      <c r="W36" s="136"/>
      <c r="X36" s="136"/>
      <c r="Y36" s="136"/>
      <c r="Z36" s="136"/>
      <c r="AA36" s="136"/>
      <c r="AB36" s="136"/>
      <c r="AC36" s="136"/>
      <c r="AD36" s="136"/>
      <c r="AE36" s="136"/>
      <c r="AF36" s="136"/>
    </row>
    <row r="37" spans="1:32" x14ac:dyDescent="0.2">
      <c r="A37" s="151" t="str">
        <f>[1]m3!A38</f>
        <v>Russia</v>
      </c>
      <c r="B37" s="110" t="s">
        <v>28</v>
      </c>
      <c r="C37" s="110" t="s">
        <v>28</v>
      </c>
      <c r="D37" s="110" t="s">
        <v>28</v>
      </c>
      <c r="E37" s="110" t="s">
        <v>28</v>
      </c>
      <c r="F37" s="110" t="s">
        <v>28</v>
      </c>
      <c r="G37" s="110" t="s">
        <v>28</v>
      </c>
      <c r="H37" s="110">
        <v>6697.3923909999994</v>
      </c>
      <c r="I37" s="110">
        <v>39885.456610999994</v>
      </c>
      <c r="J37" s="138">
        <v>4052.625</v>
      </c>
      <c r="K37" s="138">
        <v>44.369</v>
      </c>
      <c r="L37" s="110">
        <v>744.904</v>
      </c>
      <c r="M37" s="110">
        <v>2542.692</v>
      </c>
      <c r="N37" s="138">
        <v>3331.9650000000001</v>
      </c>
      <c r="O37" s="136"/>
      <c r="P37" s="136"/>
      <c r="Q37" s="136"/>
      <c r="R37" s="136"/>
      <c r="S37" s="136"/>
      <c r="T37" s="136"/>
      <c r="U37" s="136"/>
      <c r="V37" s="136"/>
      <c r="W37" s="136"/>
      <c r="X37" s="136"/>
      <c r="Y37" s="136"/>
      <c r="Z37" s="136"/>
      <c r="AA37" s="136"/>
      <c r="AB37" s="136"/>
      <c r="AC37" s="136"/>
      <c r="AD37" s="136"/>
      <c r="AE37" s="136"/>
      <c r="AF37" s="136"/>
    </row>
    <row r="38" spans="1:32" x14ac:dyDescent="0.2">
      <c r="A38" s="151" t="str">
        <f>[1]m3!A39</f>
        <v>Singapore</v>
      </c>
      <c r="B38" s="110">
        <v>1718.3440000000001</v>
      </c>
      <c r="C38" s="110">
        <v>1998.6880000000001</v>
      </c>
      <c r="D38" s="138">
        <v>3357.1840000000002</v>
      </c>
      <c r="E38" s="138">
        <v>4101.2479999999996</v>
      </c>
      <c r="F38" s="110" t="s">
        <v>28</v>
      </c>
      <c r="G38" s="110" t="s">
        <v>28</v>
      </c>
      <c r="H38" s="110" t="s">
        <v>28</v>
      </c>
      <c r="I38" s="110" t="s">
        <v>28</v>
      </c>
      <c r="J38" s="110" t="s">
        <v>28</v>
      </c>
      <c r="K38" s="110" t="s">
        <v>28</v>
      </c>
      <c r="L38" s="110" t="s">
        <v>28</v>
      </c>
      <c r="M38" s="110" t="s">
        <v>28</v>
      </c>
      <c r="N38" s="138">
        <v>6099.9359999999997</v>
      </c>
      <c r="O38" s="136"/>
      <c r="P38" s="136"/>
      <c r="Q38" s="136"/>
      <c r="R38" s="136"/>
      <c r="S38" s="136"/>
      <c r="T38" s="136"/>
      <c r="U38" s="136"/>
      <c r="V38" s="136"/>
      <c r="W38" s="136"/>
      <c r="X38" s="136"/>
      <c r="Y38" s="136"/>
      <c r="Z38" s="136"/>
      <c r="AA38" s="136"/>
      <c r="AB38" s="136"/>
      <c r="AC38" s="136"/>
      <c r="AD38" s="136"/>
      <c r="AE38" s="136"/>
      <c r="AF38" s="136"/>
    </row>
    <row r="39" spans="1:32" x14ac:dyDescent="0.2">
      <c r="A39" s="151" t="str">
        <f>[1]m3!A40</f>
        <v>Solomon Islands</v>
      </c>
      <c r="B39" s="110">
        <v>29.6</v>
      </c>
      <c r="C39" s="110">
        <v>43.457000000000001</v>
      </c>
      <c r="D39" s="138">
        <v>65.498000000000005</v>
      </c>
      <c r="E39" s="138">
        <v>52.747999999999998</v>
      </c>
      <c r="F39" s="110" t="s">
        <v>28</v>
      </c>
      <c r="G39" s="110" t="s">
        <v>28</v>
      </c>
      <c r="H39" s="110">
        <v>9695.0849980000003</v>
      </c>
      <c r="I39" s="110">
        <v>10750.535796</v>
      </c>
      <c r="J39" s="138">
        <v>1118.7437</v>
      </c>
      <c r="K39" s="138">
        <v>1008.528</v>
      </c>
      <c r="L39" s="110">
        <v>32.252000000000002</v>
      </c>
      <c r="M39" s="110">
        <v>1236.8140000000001</v>
      </c>
      <c r="N39" s="138">
        <v>2373.799</v>
      </c>
      <c r="O39" s="136"/>
      <c r="P39" s="136"/>
      <c r="Q39" s="136"/>
      <c r="R39" s="136"/>
      <c r="S39" s="136"/>
      <c r="T39" s="136"/>
      <c r="U39" s="136"/>
      <c r="V39" s="136"/>
      <c r="W39" s="136"/>
      <c r="X39" s="136"/>
      <c r="Y39" s="136"/>
      <c r="Z39" s="136"/>
      <c r="AA39" s="136"/>
      <c r="AB39" s="136"/>
      <c r="AC39" s="136"/>
      <c r="AD39" s="136"/>
      <c r="AE39" s="136"/>
      <c r="AF39" s="136"/>
    </row>
    <row r="40" spans="1:32" x14ac:dyDescent="0.2">
      <c r="A40" s="151" t="str">
        <f>[1]m3!A41</f>
        <v>South Africa</v>
      </c>
      <c r="B40" s="110" t="s">
        <v>28</v>
      </c>
      <c r="C40" s="110" t="s">
        <v>28</v>
      </c>
      <c r="D40" s="110" t="s">
        <v>28</v>
      </c>
      <c r="E40" s="110" t="s">
        <v>28</v>
      </c>
      <c r="F40" s="110" t="s">
        <v>28</v>
      </c>
      <c r="G40" s="110" t="s">
        <v>28</v>
      </c>
      <c r="H40" s="155">
        <v>480.50139000000001</v>
      </c>
      <c r="I40" s="155">
        <v>2278.2169409999997</v>
      </c>
      <c r="J40" s="152">
        <v>481.28460000000001</v>
      </c>
      <c r="K40" s="152">
        <v>888.36099999999999</v>
      </c>
      <c r="L40" s="155">
        <v>256.81299999999999</v>
      </c>
      <c r="M40" s="155">
        <v>1216.645</v>
      </c>
      <c r="N40" s="152">
        <v>2361.819</v>
      </c>
    </row>
    <row r="41" spans="1:32" x14ac:dyDescent="0.2">
      <c r="A41" s="151" t="str">
        <f>[1]m3!A42</f>
        <v>Spain</v>
      </c>
      <c r="B41" s="110" t="s">
        <v>28</v>
      </c>
      <c r="C41" s="110" t="s">
        <v>28</v>
      </c>
      <c r="D41" s="110" t="s">
        <v>28</v>
      </c>
      <c r="E41" s="110" t="s">
        <v>28</v>
      </c>
      <c r="F41" s="110" t="s">
        <v>28</v>
      </c>
      <c r="G41" s="110" t="s">
        <v>28</v>
      </c>
      <c r="H41" s="155">
        <v>10227.134460000001</v>
      </c>
      <c r="I41" s="155">
        <v>12390.507129000001</v>
      </c>
      <c r="J41" s="152">
        <v>3350.6149999999998</v>
      </c>
      <c r="K41" s="152">
        <v>829.09</v>
      </c>
      <c r="L41" s="155">
        <v>358.62900000000002</v>
      </c>
      <c r="M41" s="155">
        <v>2884.8850000000002</v>
      </c>
      <c r="N41" s="152">
        <v>4072.6040000000003</v>
      </c>
    </row>
    <row r="42" spans="1:32" x14ac:dyDescent="0.2">
      <c r="A42" s="151" t="str">
        <f>[1]m3!A43</f>
        <v>Sweden</v>
      </c>
      <c r="B42" s="110" t="s">
        <v>28</v>
      </c>
      <c r="C42" s="110" t="s">
        <v>28</v>
      </c>
      <c r="D42" s="110" t="s">
        <v>28</v>
      </c>
      <c r="E42" s="110" t="s">
        <v>28</v>
      </c>
      <c r="F42" s="110" t="s">
        <v>28</v>
      </c>
      <c r="G42" s="110" t="s">
        <v>28</v>
      </c>
      <c r="H42" s="155">
        <v>1107.6771699999999</v>
      </c>
      <c r="I42" s="155">
        <v>3534.2957649999998</v>
      </c>
      <c r="J42" s="152">
        <v>38.700000000000003</v>
      </c>
      <c r="K42" s="152">
        <v>12.676</v>
      </c>
      <c r="L42" s="155">
        <v>830.76700000000005</v>
      </c>
      <c r="M42" s="155">
        <v>10909.509</v>
      </c>
      <c r="N42" s="152">
        <v>11752.951999999999</v>
      </c>
    </row>
    <row r="43" spans="1:32" x14ac:dyDescent="0.2">
      <c r="A43" s="151" t="str">
        <f>[1]m3!A44</f>
        <v>Taiwan</v>
      </c>
      <c r="B43" s="110" t="s">
        <v>28</v>
      </c>
      <c r="C43" s="110" t="s">
        <v>28</v>
      </c>
      <c r="D43" s="110" t="s">
        <v>28</v>
      </c>
      <c r="E43" s="110" t="s">
        <v>28</v>
      </c>
      <c r="F43" s="110" t="s">
        <v>28</v>
      </c>
      <c r="G43" s="110" t="s">
        <v>28</v>
      </c>
      <c r="H43" s="155">
        <v>2783.2839319999998</v>
      </c>
      <c r="I43" s="155">
        <v>4458.9424880000006</v>
      </c>
      <c r="J43" s="152">
        <v>938.08900000000006</v>
      </c>
      <c r="K43" s="152">
        <v>148.97399999999999</v>
      </c>
      <c r="L43" s="155">
        <v>9702.4670000000006</v>
      </c>
      <c r="M43" s="155">
        <v>3878.75</v>
      </c>
      <c r="N43" s="152">
        <v>13730.191000000001</v>
      </c>
    </row>
    <row r="44" spans="1:32" x14ac:dyDescent="0.2">
      <c r="A44" s="151" t="str">
        <f>[1]m3!A45</f>
        <v>Thailand</v>
      </c>
      <c r="B44" s="110" t="s">
        <v>28</v>
      </c>
      <c r="C44" s="110" t="s">
        <v>28</v>
      </c>
      <c r="D44" s="110" t="s">
        <v>28</v>
      </c>
      <c r="E44" s="110" t="s">
        <v>28</v>
      </c>
      <c r="F44" s="110" t="s">
        <v>28</v>
      </c>
      <c r="G44" s="110" t="s">
        <v>28</v>
      </c>
      <c r="H44" s="110" t="s">
        <v>28</v>
      </c>
      <c r="I44" s="110" t="s">
        <v>28</v>
      </c>
      <c r="J44" s="110" t="s">
        <v>28</v>
      </c>
      <c r="K44" s="110" t="s">
        <v>28</v>
      </c>
      <c r="L44" s="155">
        <v>482.93200000000002</v>
      </c>
      <c r="M44" s="155">
        <v>683.39400000000001</v>
      </c>
      <c r="N44" s="152">
        <v>1166.326</v>
      </c>
    </row>
    <row r="45" spans="1:32" x14ac:dyDescent="0.2">
      <c r="A45" s="151" t="str">
        <f>[1]m3!A46</f>
        <v>United Kingdom</v>
      </c>
      <c r="B45" s="110" t="s">
        <v>28</v>
      </c>
      <c r="C45" s="110" t="s">
        <v>28</v>
      </c>
      <c r="D45" s="152">
        <v>5.8659999999999997</v>
      </c>
      <c r="E45" s="152">
        <v>16.616</v>
      </c>
      <c r="F45" s="110" t="s">
        <v>28</v>
      </c>
      <c r="G45" s="110" t="s">
        <v>28</v>
      </c>
      <c r="H45" s="155">
        <v>7429.1424639999996</v>
      </c>
      <c r="I45" s="155">
        <v>12333.779458000001</v>
      </c>
      <c r="J45" s="152">
        <v>1257.922</v>
      </c>
      <c r="K45" s="152">
        <v>149.28899999999999</v>
      </c>
      <c r="L45" s="155">
        <v>2375.66</v>
      </c>
      <c r="M45" s="155">
        <v>7056.1930000000002</v>
      </c>
      <c r="N45" s="152">
        <v>9597.7579999999998</v>
      </c>
    </row>
    <row r="46" spans="1:32" x14ac:dyDescent="0.2">
      <c r="A46" s="151" t="str">
        <f>[1]m3!A47</f>
        <v>United States of America</v>
      </c>
      <c r="B46" s="155">
        <v>863.54899999999998</v>
      </c>
      <c r="C46" s="155">
        <v>1298.357</v>
      </c>
      <c r="D46" s="152">
        <v>7101.0140000000001</v>
      </c>
      <c r="E46" s="152">
        <v>8081.8879999999999</v>
      </c>
      <c r="F46" s="155">
        <v>357.93599999999998</v>
      </c>
      <c r="G46" s="155">
        <v>532.452</v>
      </c>
      <c r="H46" s="155">
        <v>20465.990374000005</v>
      </c>
      <c r="I46" s="155">
        <v>36206.581410999999</v>
      </c>
      <c r="J46" s="152">
        <v>11003.729499999999</v>
      </c>
      <c r="K46" s="152">
        <v>2765.7080000000001</v>
      </c>
      <c r="L46" s="155">
        <v>3493.3130000000001</v>
      </c>
      <c r="M46" s="155">
        <v>27257.532999999999</v>
      </c>
      <c r="N46" s="152">
        <v>42896.798999999999</v>
      </c>
    </row>
    <row r="47" spans="1:32" x14ac:dyDescent="0.2">
      <c r="A47" s="151" t="str">
        <f>[1]m3!A48</f>
        <v>Viet Nam</v>
      </c>
      <c r="B47" s="110" t="s">
        <v>28</v>
      </c>
      <c r="C47" s="110" t="s">
        <v>28</v>
      </c>
      <c r="D47" s="152">
        <v>13.281000000000001</v>
      </c>
      <c r="E47" s="152">
        <v>22.199000000000002</v>
      </c>
      <c r="F47" s="110" t="s">
        <v>28</v>
      </c>
      <c r="G47" s="110" t="s">
        <v>28</v>
      </c>
      <c r="H47" s="155">
        <v>2330.2180600000002</v>
      </c>
      <c r="I47" s="155">
        <v>4035.6125810000003</v>
      </c>
      <c r="J47" s="152">
        <v>238.88900000000001</v>
      </c>
      <c r="K47" s="152">
        <v>68.816000000000003</v>
      </c>
      <c r="L47" s="155">
        <v>47908.999000000003</v>
      </c>
      <c r="M47" s="155">
        <v>6866.6689999999999</v>
      </c>
      <c r="N47" s="152">
        <v>54866.683000000005</v>
      </c>
    </row>
    <row r="48" spans="1:32" x14ac:dyDescent="0.2">
      <c r="A48" s="151" t="str">
        <f>[1]m3!A49</f>
        <v>Grand Total</v>
      </c>
      <c r="B48" s="155">
        <v>5421.1590000000006</v>
      </c>
      <c r="C48" s="155">
        <v>6018.2039999999997</v>
      </c>
      <c r="D48" s="152">
        <v>59293.297600000013</v>
      </c>
      <c r="E48" s="152">
        <v>75926.524999999994</v>
      </c>
      <c r="F48" s="155">
        <v>51250.923000000003</v>
      </c>
      <c r="G48" s="155">
        <v>40242.285999999993</v>
      </c>
      <c r="H48" s="155">
        <v>444034.20304099988</v>
      </c>
      <c r="I48" s="155">
        <v>613003.85733199981</v>
      </c>
      <c r="J48" s="152">
        <v>209252.45890000003</v>
      </c>
      <c r="K48" s="152">
        <v>68228.40800000001</v>
      </c>
      <c r="L48" s="155">
        <v>299552.53799999994</v>
      </c>
      <c r="M48" s="155">
        <v>478358.30599999998</v>
      </c>
      <c r="N48" s="152">
        <v>928083.98100000026</v>
      </c>
    </row>
    <row r="49" spans="1:14" x14ac:dyDescent="0.2">
      <c r="A49" s="151" t="s">
        <v>93</v>
      </c>
      <c r="B49" s="155">
        <v>24.63799999999901</v>
      </c>
      <c r="C49" s="155">
        <v>50.869000000000597</v>
      </c>
      <c r="D49" s="152">
        <v>1086.2964999999749</v>
      </c>
      <c r="E49" s="152">
        <v>1624.5260000000126</v>
      </c>
      <c r="F49" s="110" t="s">
        <v>28</v>
      </c>
      <c r="G49" s="110" t="s">
        <v>28</v>
      </c>
      <c r="H49" s="155">
        <v>2360.8506430000662</v>
      </c>
      <c r="I49" s="155">
        <v>5580.1487080003244</v>
      </c>
      <c r="J49" s="152">
        <v>43169.057300000044</v>
      </c>
      <c r="K49" s="152">
        <v>1114.0649999999878</v>
      </c>
      <c r="L49" s="155">
        <v>2029.5179999999818</v>
      </c>
      <c r="M49" s="155">
        <v>5366.9340000000084</v>
      </c>
      <c r="N49" s="152">
        <v>10185.911999999662</v>
      </c>
    </row>
    <row r="50" spans="1:14" x14ac:dyDescent="0.2">
      <c r="A50" s="142" t="s">
        <v>27</v>
      </c>
      <c r="B50" s="114">
        <v>5445.7969999999996</v>
      </c>
      <c r="C50" s="114">
        <v>6069.0730000000003</v>
      </c>
      <c r="D50" s="143">
        <v>60379.594099999988</v>
      </c>
      <c r="E50" s="143">
        <v>77551.051000000007</v>
      </c>
      <c r="F50" s="114">
        <v>51250.923000000003</v>
      </c>
      <c r="G50" s="114">
        <v>40242.286</v>
      </c>
      <c r="H50" s="114">
        <v>446395.05368399993</v>
      </c>
      <c r="I50" s="114">
        <v>618584.00604000012</v>
      </c>
      <c r="J50" s="143">
        <v>252421.51620000007</v>
      </c>
      <c r="K50" s="143">
        <v>69342.472999999998</v>
      </c>
      <c r="L50" s="114">
        <v>301582.05599999992</v>
      </c>
      <c r="M50" s="114">
        <v>483725.24</v>
      </c>
      <c r="N50" s="143">
        <v>1596478.219</v>
      </c>
    </row>
    <row r="51" spans="1:14" x14ac:dyDescent="0.2">
      <c r="A51" s="108"/>
      <c r="B51" s="154"/>
      <c r="C51" s="154"/>
      <c r="D51" s="154"/>
      <c r="E51" s="154"/>
      <c r="F51" s="154"/>
      <c r="G51" s="154"/>
      <c r="H51" s="154"/>
      <c r="I51" s="154"/>
      <c r="J51" s="154"/>
      <c r="K51" s="154"/>
      <c r="L51" s="154"/>
      <c r="M51" s="154"/>
      <c r="N51" s="154"/>
    </row>
    <row r="52" spans="1:14" x14ac:dyDescent="0.2">
      <c r="A52" s="116" t="s">
        <v>48</v>
      </c>
      <c r="C52" s="137"/>
      <c r="D52" s="137"/>
      <c r="E52" s="137"/>
      <c r="F52" s="137"/>
      <c r="G52" s="139"/>
      <c r="H52" s="137"/>
      <c r="I52" s="137"/>
      <c r="J52" s="137"/>
    </row>
    <row r="53" spans="1:14" x14ac:dyDescent="0.2">
      <c r="A53" s="117" t="s">
        <v>225</v>
      </c>
    </row>
    <row r="54" spans="1:14" x14ac:dyDescent="0.2">
      <c r="A54" s="117"/>
    </row>
    <row r="55" spans="1:14" x14ac:dyDescent="0.2">
      <c r="A55" s="108" t="s">
        <v>37</v>
      </c>
    </row>
    <row r="56" spans="1:14" x14ac:dyDescent="0.2">
      <c r="A56" s="118" t="s">
        <v>104</v>
      </c>
    </row>
    <row r="57" spans="1:14" x14ac:dyDescent="0.2">
      <c r="A57" s="118" t="s">
        <v>55</v>
      </c>
    </row>
    <row r="58" spans="1:14" x14ac:dyDescent="0.2">
      <c r="A58" s="118" t="s">
        <v>56</v>
      </c>
    </row>
    <row r="59" spans="1:14" x14ac:dyDescent="0.2">
      <c r="A59" s="118" t="s">
        <v>67</v>
      </c>
    </row>
    <row r="60" spans="1:14" x14ac:dyDescent="0.2">
      <c r="A60" s="118" t="s">
        <v>68</v>
      </c>
    </row>
    <row r="61" spans="1:14" x14ac:dyDescent="0.2">
      <c r="A61" s="118" t="s">
        <v>72</v>
      </c>
    </row>
    <row r="62" spans="1:14" x14ac:dyDescent="0.2">
      <c r="A62" s="118" t="s">
        <v>73</v>
      </c>
    </row>
    <row r="63" spans="1:14" x14ac:dyDescent="0.2">
      <c r="A63" s="118" t="s">
        <v>74</v>
      </c>
    </row>
    <row r="64" spans="1:14" x14ac:dyDescent="0.2">
      <c r="A64" s="119"/>
    </row>
    <row r="65" spans="1:1" x14ac:dyDescent="0.2">
      <c r="A65" s="108" t="s">
        <v>50</v>
      </c>
    </row>
    <row r="66" spans="1:1" x14ac:dyDescent="0.2">
      <c r="A66" s="120" t="s">
        <v>105</v>
      </c>
    </row>
  </sheetData>
  <mergeCells count="6">
    <mergeCell ref="J3:K3"/>
    <mergeCell ref="A3:A5"/>
    <mergeCell ref="B3:C3"/>
    <mergeCell ref="D3:E3"/>
    <mergeCell ref="F3:G3"/>
    <mergeCell ref="H3:I3"/>
  </mergeCell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56"/>
  <sheetViews>
    <sheetView zoomScaleNormal="100" workbookViewId="0">
      <selection activeCell="B7" sqref="B7"/>
    </sheetView>
  </sheetViews>
  <sheetFormatPr defaultRowHeight="12.75" x14ac:dyDescent="0.2"/>
  <cols>
    <col min="1" max="1" width="30.7109375" customWidth="1"/>
    <col min="2" max="10" width="9.7109375" customWidth="1"/>
    <col min="11" max="11" width="10" customWidth="1"/>
    <col min="12" max="14" width="13.7109375" customWidth="1"/>
    <col min="15" max="15" width="1.42578125" customWidth="1"/>
    <col min="16" max="16" width="13.7109375" customWidth="1"/>
    <col min="17" max="17" width="1.42578125" customWidth="1"/>
  </cols>
  <sheetData>
    <row r="1" spans="1:19" ht="16.5" x14ac:dyDescent="0.2">
      <c r="A1" s="76" t="s">
        <v>226</v>
      </c>
    </row>
    <row r="3" spans="1:19" s="105" customFormat="1" ht="21" x14ac:dyDescent="0.2">
      <c r="A3" s="163" t="s">
        <v>38</v>
      </c>
      <c r="B3" s="165" t="s">
        <v>36</v>
      </c>
      <c r="C3" s="165"/>
      <c r="D3" s="166" t="s">
        <v>90</v>
      </c>
      <c r="E3" s="167"/>
      <c r="F3" s="165" t="s">
        <v>35</v>
      </c>
      <c r="G3" s="165"/>
      <c r="H3" s="165" t="s">
        <v>91</v>
      </c>
      <c r="I3" s="165"/>
      <c r="J3" s="162" t="s">
        <v>70</v>
      </c>
      <c r="K3" s="162"/>
      <c r="L3" s="106" t="s">
        <v>92</v>
      </c>
      <c r="M3" s="106" t="s">
        <v>71</v>
      </c>
      <c r="N3" s="140" t="s">
        <v>34</v>
      </c>
      <c r="O3" s="106"/>
      <c r="P3" s="140"/>
      <c r="Q3" s="140"/>
      <c r="R3" s="107"/>
    </row>
    <row r="4" spans="1:19" s="105" customFormat="1" x14ac:dyDescent="0.2">
      <c r="A4" s="163"/>
      <c r="B4" s="108" t="s">
        <v>59</v>
      </c>
      <c r="C4" s="108" t="s">
        <v>57</v>
      </c>
      <c r="D4" s="141" t="s">
        <v>69</v>
      </c>
      <c r="E4" s="141" t="s">
        <v>57</v>
      </c>
      <c r="F4" s="108" t="s">
        <v>58</v>
      </c>
      <c r="G4" s="108" t="s">
        <v>57</v>
      </c>
      <c r="H4" s="108" t="s">
        <v>58</v>
      </c>
      <c r="I4" s="108" t="s">
        <v>57</v>
      </c>
      <c r="J4" s="141" t="s">
        <v>58</v>
      </c>
      <c r="K4" s="141" t="s">
        <v>57</v>
      </c>
      <c r="L4" s="108" t="s">
        <v>57</v>
      </c>
      <c r="M4" s="108" t="s">
        <v>57</v>
      </c>
      <c r="N4" s="141" t="s">
        <v>57</v>
      </c>
      <c r="O4" s="108"/>
      <c r="P4" s="141"/>
      <c r="Q4" s="141"/>
      <c r="R4" s="107"/>
    </row>
    <row r="5" spans="1:19" s="105" customFormat="1" x14ac:dyDescent="0.2">
      <c r="A5" s="164"/>
      <c r="B5" s="109" t="s">
        <v>60</v>
      </c>
      <c r="C5" s="109" t="s">
        <v>61</v>
      </c>
      <c r="D5" s="142" t="s">
        <v>62</v>
      </c>
      <c r="E5" s="142" t="s">
        <v>61</v>
      </c>
      <c r="F5" s="109" t="s">
        <v>63</v>
      </c>
      <c r="G5" s="109" t="s">
        <v>61</v>
      </c>
      <c r="H5" s="109" t="s">
        <v>63</v>
      </c>
      <c r="I5" s="109" t="s">
        <v>61</v>
      </c>
      <c r="J5" s="142" t="s">
        <v>64</v>
      </c>
      <c r="K5" s="142" t="s">
        <v>61</v>
      </c>
      <c r="L5" s="109" t="s">
        <v>61</v>
      </c>
      <c r="M5" s="109" t="s">
        <v>61</v>
      </c>
      <c r="N5" s="142" t="s">
        <v>61</v>
      </c>
      <c r="O5" s="109"/>
      <c r="P5" s="148"/>
      <c r="Q5" s="148"/>
      <c r="R5" s="107"/>
    </row>
    <row r="6" spans="1:19" x14ac:dyDescent="0.2">
      <c r="A6" s="151" t="s">
        <v>0</v>
      </c>
      <c r="B6" s="110">
        <v>1884</v>
      </c>
      <c r="C6" s="110">
        <v>1507</v>
      </c>
      <c r="D6" s="138">
        <v>6032</v>
      </c>
      <c r="E6" s="138">
        <v>5095</v>
      </c>
      <c r="F6" s="110" t="s">
        <v>28</v>
      </c>
      <c r="G6" s="110" t="s">
        <v>28</v>
      </c>
      <c r="H6" s="110">
        <v>178068.75399999999</v>
      </c>
      <c r="I6" s="110">
        <v>196588</v>
      </c>
      <c r="J6" s="138">
        <v>13617</v>
      </c>
      <c r="K6" s="138">
        <v>3246</v>
      </c>
      <c r="L6" s="138">
        <v>5107</v>
      </c>
      <c r="M6" s="110">
        <v>143677</v>
      </c>
      <c r="N6" s="110">
        <v>355220</v>
      </c>
      <c r="O6" s="110"/>
      <c r="P6" s="152"/>
      <c r="Q6" s="152"/>
      <c r="R6" s="136"/>
    </row>
    <row r="7" spans="1:19" x14ac:dyDescent="0.2">
      <c r="A7" s="151" t="s">
        <v>1</v>
      </c>
      <c r="B7" s="110" t="s">
        <v>28</v>
      </c>
      <c r="C7" s="110" t="s">
        <v>28</v>
      </c>
      <c r="D7" s="138" t="s">
        <v>28</v>
      </c>
      <c r="E7" s="138" t="s">
        <v>28</v>
      </c>
      <c r="F7" s="110" t="s">
        <v>28</v>
      </c>
      <c r="G7" s="110" t="s">
        <v>28</v>
      </c>
      <c r="H7" s="110">
        <v>1827.481</v>
      </c>
      <c r="I7" s="110">
        <v>3363</v>
      </c>
      <c r="J7" s="138">
        <v>1059</v>
      </c>
      <c r="K7" s="138">
        <v>236</v>
      </c>
      <c r="L7" s="138">
        <v>122</v>
      </c>
      <c r="M7" s="110">
        <v>327</v>
      </c>
      <c r="N7" s="110">
        <v>4048</v>
      </c>
      <c r="O7" s="110"/>
      <c r="P7" s="152"/>
      <c r="Q7" s="152"/>
      <c r="R7" s="136"/>
    </row>
    <row r="8" spans="1:19" x14ac:dyDescent="0.2">
      <c r="A8" s="151" t="s">
        <v>2</v>
      </c>
      <c r="B8" s="110" t="s">
        <v>28</v>
      </c>
      <c r="C8" s="110" t="s">
        <v>28</v>
      </c>
      <c r="D8" s="138">
        <v>41</v>
      </c>
      <c r="E8" s="138">
        <v>30</v>
      </c>
      <c r="F8" s="110">
        <v>14</v>
      </c>
      <c r="G8" s="110">
        <v>11</v>
      </c>
      <c r="H8" s="110">
        <v>519.23599999999999</v>
      </c>
      <c r="I8" s="110">
        <v>2236</v>
      </c>
      <c r="J8" s="138">
        <v>12054</v>
      </c>
      <c r="K8" s="138">
        <v>1787</v>
      </c>
      <c r="L8" s="138">
        <v>84</v>
      </c>
      <c r="M8" s="110">
        <v>8592</v>
      </c>
      <c r="N8" s="110">
        <v>12740</v>
      </c>
      <c r="O8" s="110"/>
      <c r="P8" s="152"/>
      <c r="Q8" s="152"/>
      <c r="R8" s="136"/>
    </row>
    <row r="9" spans="1:19" x14ac:dyDescent="0.2">
      <c r="A9" s="151" t="s">
        <v>3</v>
      </c>
      <c r="B9" s="110" t="s">
        <v>28</v>
      </c>
      <c r="C9" s="110" t="s">
        <v>28</v>
      </c>
      <c r="D9" s="138">
        <v>89</v>
      </c>
      <c r="E9" s="138">
        <v>165</v>
      </c>
      <c r="F9" s="110">
        <v>1410</v>
      </c>
      <c r="G9" s="110">
        <v>1143</v>
      </c>
      <c r="H9" s="110">
        <v>5750.817</v>
      </c>
      <c r="I9" s="110">
        <v>6189</v>
      </c>
      <c r="J9" s="138">
        <v>46</v>
      </c>
      <c r="K9" s="138">
        <v>35</v>
      </c>
      <c r="L9" s="138">
        <v>48</v>
      </c>
      <c r="M9" s="110">
        <v>1103</v>
      </c>
      <c r="N9" s="110">
        <v>8683</v>
      </c>
      <c r="O9" s="110"/>
      <c r="P9" s="152"/>
      <c r="Q9" s="152"/>
      <c r="R9" s="136"/>
    </row>
    <row r="10" spans="1:19" x14ac:dyDescent="0.2">
      <c r="A10" s="151" t="s">
        <v>86</v>
      </c>
      <c r="B10" s="110" t="s">
        <v>28</v>
      </c>
      <c r="C10" s="110" t="s">
        <v>28</v>
      </c>
      <c r="D10" s="138" t="s">
        <v>28</v>
      </c>
      <c r="E10" s="138" t="s">
        <v>28</v>
      </c>
      <c r="F10" s="110" t="s">
        <v>28</v>
      </c>
      <c r="G10" s="110">
        <v>1</v>
      </c>
      <c r="H10" s="110">
        <v>7441.777</v>
      </c>
      <c r="I10" s="110">
        <v>11520</v>
      </c>
      <c r="J10" s="138">
        <v>1822</v>
      </c>
      <c r="K10" s="138">
        <v>143</v>
      </c>
      <c r="L10" s="138">
        <v>3577</v>
      </c>
      <c r="M10" s="110">
        <v>6790</v>
      </c>
      <c r="N10" s="110">
        <v>22031</v>
      </c>
      <c r="O10" s="110"/>
      <c r="P10" s="152"/>
      <c r="Q10" s="152"/>
      <c r="R10" s="136"/>
    </row>
    <row r="11" spans="1:19" x14ac:dyDescent="0.2">
      <c r="A11" s="107" t="s">
        <v>4</v>
      </c>
      <c r="B11" s="110" t="s">
        <v>28</v>
      </c>
      <c r="C11" s="110" t="s">
        <v>28</v>
      </c>
      <c r="D11" s="138">
        <v>20294</v>
      </c>
      <c r="E11" s="138">
        <v>27465</v>
      </c>
      <c r="F11" s="110">
        <v>3656</v>
      </c>
      <c r="G11" s="110">
        <v>2702</v>
      </c>
      <c r="H11" s="110">
        <v>2572.3510000000001</v>
      </c>
      <c r="I11" s="110">
        <v>4178</v>
      </c>
      <c r="J11" s="138">
        <v>286</v>
      </c>
      <c r="K11" s="138">
        <v>194</v>
      </c>
      <c r="L11" s="138">
        <v>217</v>
      </c>
      <c r="M11" s="110">
        <v>2475</v>
      </c>
      <c r="N11" s="110">
        <v>37231</v>
      </c>
      <c r="O11" s="110"/>
      <c r="P11" s="152"/>
      <c r="Q11" s="152"/>
      <c r="R11" s="136"/>
      <c r="S11" s="136"/>
    </row>
    <row r="12" spans="1:19" x14ac:dyDescent="0.2">
      <c r="A12" s="107" t="s">
        <v>110</v>
      </c>
      <c r="B12" s="110" t="s">
        <v>28</v>
      </c>
      <c r="C12" s="110" t="s">
        <v>28</v>
      </c>
      <c r="D12" s="138">
        <v>423</v>
      </c>
      <c r="E12" s="138">
        <v>320</v>
      </c>
      <c r="F12" s="110" t="s">
        <v>28</v>
      </c>
      <c r="G12" s="110" t="s">
        <v>28</v>
      </c>
      <c r="H12" s="110">
        <v>50939.061999999998</v>
      </c>
      <c r="I12" s="110">
        <v>80683</v>
      </c>
      <c r="J12" s="138">
        <v>154982.3412</v>
      </c>
      <c r="K12" s="138">
        <v>11153</v>
      </c>
      <c r="L12" s="138">
        <v>176276</v>
      </c>
      <c r="M12" s="110">
        <v>94759</v>
      </c>
      <c r="N12" s="110">
        <v>363191</v>
      </c>
      <c r="O12" s="110"/>
      <c r="P12" s="152"/>
      <c r="Q12" s="152"/>
      <c r="R12" s="136"/>
      <c r="S12" s="136"/>
    </row>
    <row r="13" spans="1:19" x14ac:dyDescent="0.2">
      <c r="A13" s="107" t="s">
        <v>5</v>
      </c>
      <c r="B13" s="110" t="s">
        <v>28</v>
      </c>
      <c r="C13" s="110" t="s">
        <v>28</v>
      </c>
      <c r="D13" s="138" t="s">
        <v>28</v>
      </c>
      <c r="E13" s="138" t="s">
        <v>28</v>
      </c>
      <c r="F13" s="110" t="s">
        <v>28</v>
      </c>
      <c r="G13" s="110" t="s">
        <v>28</v>
      </c>
      <c r="H13" s="110">
        <v>6.8000000000000005E-2</v>
      </c>
      <c r="I13" s="110">
        <v>3</v>
      </c>
      <c r="J13" s="138">
        <v>1306</v>
      </c>
      <c r="K13" s="138">
        <v>65</v>
      </c>
      <c r="L13" s="138">
        <v>937</v>
      </c>
      <c r="M13" s="110">
        <v>4549</v>
      </c>
      <c r="N13" s="110">
        <v>5554</v>
      </c>
      <c r="O13" s="110"/>
      <c r="P13" s="152"/>
      <c r="Q13" s="152"/>
      <c r="R13" s="136"/>
    </row>
    <row r="14" spans="1:19" x14ac:dyDescent="0.2">
      <c r="A14" s="107" t="s">
        <v>6</v>
      </c>
      <c r="B14" s="110">
        <v>19</v>
      </c>
      <c r="C14" s="110">
        <v>28</v>
      </c>
      <c r="D14" s="138">
        <v>1985</v>
      </c>
      <c r="E14" s="138">
        <v>2351</v>
      </c>
      <c r="F14" s="110" t="s">
        <v>28</v>
      </c>
      <c r="G14" s="110" t="s">
        <v>28</v>
      </c>
      <c r="H14" s="110">
        <v>2.7E-2</v>
      </c>
      <c r="I14" s="110" t="s">
        <v>28</v>
      </c>
      <c r="J14" s="138">
        <v>695</v>
      </c>
      <c r="K14" s="138">
        <v>221</v>
      </c>
      <c r="L14" s="138">
        <v>70</v>
      </c>
      <c r="M14" s="110">
        <v>182</v>
      </c>
      <c r="N14" s="110">
        <v>2852</v>
      </c>
      <c r="O14" s="110"/>
      <c r="P14" s="152"/>
      <c r="Q14" s="152"/>
      <c r="R14" s="136"/>
    </row>
    <row r="15" spans="1:19" x14ac:dyDescent="0.2">
      <c r="A15" s="107" t="s">
        <v>7</v>
      </c>
      <c r="B15" s="110" t="s">
        <v>28</v>
      </c>
      <c r="C15" s="110" t="s">
        <v>28</v>
      </c>
      <c r="D15" s="138" t="s">
        <v>28</v>
      </c>
      <c r="E15" s="138" t="s">
        <v>28</v>
      </c>
      <c r="F15" s="110" t="s">
        <v>28</v>
      </c>
      <c r="G15" s="110" t="s">
        <v>28</v>
      </c>
      <c r="H15" s="110">
        <v>26197.132000000001</v>
      </c>
      <c r="I15" s="110">
        <v>34485</v>
      </c>
      <c r="J15" s="138">
        <v>2167</v>
      </c>
      <c r="K15" s="138">
        <v>529</v>
      </c>
      <c r="L15" s="138">
        <v>45</v>
      </c>
      <c r="M15" s="110">
        <v>1427</v>
      </c>
      <c r="N15" s="110">
        <v>36486</v>
      </c>
      <c r="O15" s="110"/>
      <c r="P15" s="152"/>
      <c r="Q15" s="152"/>
      <c r="R15" s="136"/>
    </row>
    <row r="16" spans="1:19" x14ac:dyDescent="0.2">
      <c r="A16" s="107" t="s">
        <v>8</v>
      </c>
      <c r="B16" s="110" t="s">
        <v>28</v>
      </c>
      <c r="C16" s="110" t="s">
        <v>28</v>
      </c>
      <c r="D16" s="138">
        <v>241</v>
      </c>
      <c r="E16" s="138">
        <v>374</v>
      </c>
      <c r="F16" s="110" t="s">
        <v>28</v>
      </c>
      <c r="G16" s="110" t="s">
        <v>28</v>
      </c>
      <c r="H16" s="110">
        <v>1842.799</v>
      </c>
      <c r="I16" s="110">
        <v>6405</v>
      </c>
      <c r="J16" s="138">
        <v>139</v>
      </c>
      <c r="K16" s="138">
        <v>184</v>
      </c>
      <c r="L16" s="138">
        <v>979</v>
      </c>
      <c r="M16" s="110">
        <v>32735</v>
      </c>
      <c r="N16" s="110">
        <v>40677</v>
      </c>
      <c r="O16" s="110"/>
      <c r="P16" s="152"/>
      <c r="Q16" s="152"/>
      <c r="R16" s="136"/>
    </row>
    <row r="17" spans="1:19" x14ac:dyDescent="0.2">
      <c r="A17" s="107" t="s">
        <v>9</v>
      </c>
      <c r="B17" s="110" t="s">
        <v>28</v>
      </c>
      <c r="C17" s="110" t="s">
        <v>28</v>
      </c>
      <c r="D17" s="138">
        <v>146</v>
      </c>
      <c r="E17" s="138">
        <v>132</v>
      </c>
      <c r="F17" s="110">
        <v>396</v>
      </c>
      <c r="G17" s="110">
        <v>468</v>
      </c>
      <c r="H17" s="110">
        <v>7614.3119999999999</v>
      </c>
      <c r="I17" s="110">
        <v>16975</v>
      </c>
      <c r="J17" s="138">
        <v>9513</v>
      </c>
      <c r="K17" s="138">
        <v>1715</v>
      </c>
      <c r="L17" s="138">
        <v>3770</v>
      </c>
      <c r="M17" s="110">
        <v>17758</v>
      </c>
      <c r="N17" s="110">
        <v>40818</v>
      </c>
      <c r="O17" s="110"/>
      <c r="P17" s="152"/>
      <c r="Q17" s="152"/>
      <c r="R17" s="136"/>
    </row>
    <row r="18" spans="1:19" x14ac:dyDescent="0.2">
      <c r="A18" s="107" t="s">
        <v>109</v>
      </c>
      <c r="B18" s="110" t="s">
        <v>28</v>
      </c>
      <c r="C18" s="110" t="s">
        <v>28</v>
      </c>
      <c r="D18" s="138">
        <v>3104</v>
      </c>
      <c r="E18" s="138">
        <v>18</v>
      </c>
      <c r="F18" s="110" t="s">
        <v>28</v>
      </c>
      <c r="G18" s="110" t="s">
        <v>28</v>
      </c>
      <c r="H18" s="110">
        <v>65.021000000000001</v>
      </c>
      <c r="I18" s="110">
        <v>114</v>
      </c>
      <c r="J18" s="138">
        <v>1</v>
      </c>
      <c r="K18" s="138" t="s">
        <v>28</v>
      </c>
      <c r="L18" s="138">
        <v>142</v>
      </c>
      <c r="M18" s="110">
        <v>1533</v>
      </c>
      <c r="N18" s="110">
        <v>1807</v>
      </c>
      <c r="O18" s="110"/>
      <c r="P18" s="152"/>
      <c r="Q18" s="152"/>
      <c r="R18" s="136"/>
    </row>
    <row r="19" spans="1:19" x14ac:dyDescent="0.2">
      <c r="A19" s="107" t="s">
        <v>10</v>
      </c>
      <c r="B19" s="110" t="s">
        <v>28</v>
      </c>
      <c r="C19" s="110" t="s">
        <v>28</v>
      </c>
      <c r="D19" s="138" t="s">
        <v>28</v>
      </c>
      <c r="E19" s="138" t="s">
        <v>28</v>
      </c>
      <c r="F19" s="110" t="s">
        <v>28</v>
      </c>
      <c r="G19" s="110" t="s">
        <v>28</v>
      </c>
      <c r="H19" s="110">
        <v>162.29400000000001</v>
      </c>
      <c r="I19" s="110">
        <v>468</v>
      </c>
      <c r="J19" s="138">
        <v>1218</v>
      </c>
      <c r="K19" s="138">
        <v>56</v>
      </c>
      <c r="L19" s="138">
        <v>2122</v>
      </c>
      <c r="M19" s="110">
        <v>1490</v>
      </c>
      <c r="N19" s="110">
        <v>4136</v>
      </c>
      <c r="O19" s="110"/>
      <c r="P19" s="152"/>
      <c r="Q19" s="152"/>
      <c r="R19" s="136"/>
    </row>
    <row r="20" spans="1:19" x14ac:dyDescent="0.2">
      <c r="A20" s="107" t="s">
        <v>11</v>
      </c>
      <c r="B20" s="110" t="s">
        <v>28</v>
      </c>
      <c r="C20" s="110" t="s">
        <v>28</v>
      </c>
      <c r="D20" s="138">
        <v>3381</v>
      </c>
      <c r="E20" s="138">
        <v>5574</v>
      </c>
      <c r="F20" s="110" t="s">
        <v>28</v>
      </c>
      <c r="G20" s="110" t="s">
        <v>28</v>
      </c>
      <c r="H20" s="110">
        <v>23238.431</v>
      </c>
      <c r="I20" s="110">
        <v>35294</v>
      </c>
      <c r="J20" s="138">
        <v>423</v>
      </c>
      <c r="K20" s="138">
        <v>504</v>
      </c>
      <c r="L20" s="138">
        <v>8571</v>
      </c>
      <c r="M20" s="110">
        <v>34861</v>
      </c>
      <c r="N20" s="110">
        <v>84804</v>
      </c>
      <c r="O20" s="110"/>
      <c r="P20" s="152"/>
      <c r="Q20" s="152"/>
      <c r="R20" s="136"/>
      <c r="S20" s="136"/>
    </row>
    <row r="21" spans="1:19" x14ac:dyDescent="0.2">
      <c r="A21" s="107" t="s">
        <v>12</v>
      </c>
      <c r="B21" s="110">
        <v>8</v>
      </c>
      <c r="C21" s="110">
        <v>12</v>
      </c>
      <c r="D21" s="138">
        <v>343</v>
      </c>
      <c r="E21" s="138">
        <v>624</v>
      </c>
      <c r="F21" s="110" t="s">
        <v>28</v>
      </c>
      <c r="G21" s="110" t="s">
        <v>28</v>
      </c>
      <c r="H21" s="110">
        <v>10775.236999999999</v>
      </c>
      <c r="I21" s="110">
        <v>16105</v>
      </c>
      <c r="J21" s="138">
        <v>2289</v>
      </c>
      <c r="K21" s="138">
        <v>1076</v>
      </c>
      <c r="L21" s="138">
        <v>5324</v>
      </c>
      <c r="M21" s="110">
        <v>6989</v>
      </c>
      <c r="N21" s="110">
        <v>30130</v>
      </c>
      <c r="O21" s="110"/>
      <c r="P21" s="152"/>
      <c r="Q21" s="152"/>
      <c r="R21" s="136"/>
    </row>
    <row r="22" spans="1:19" x14ac:dyDescent="0.2">
      <c r="A22" s="107" t="s">
        <v>13</v>
      </c>
      <c r="B22" s="110" t="s">
        <v>28</v>
      </c>
      <c r="C22" s="110" t="s">
        <v>28</v>
      </c>
      <c r="D22" s="138" t="s">
        <v>28</v>
      </c>
      <c r="E22" s="138" t="s">
        <v>28</v>
      </c>
      <c r="F22" s="110" t="s">
        <v>28</v>
      </c>
      <c r="G22" s="110" t="s">
        <v>28</v>
      </c>
      <c r="H22" s="110">
        <v>38638.9</v>
      </c>
      <c r="I22" s="110">
        <v>48467</v>
      </c>
      <c r="J22" s="138" t="s">
        <v>28</v>
      </c>
      <c r="K22" s="138" t="s">
        <v>28</v>
      </c>
      <c r="L22" s="138">
        <v>82</v>
      </c>
      <c r="M22" s="110">
        <v>1765</v>
      </c>
      <c r="N22" s="110">
        <v>50314</v>
      </c>
      <c r="O22" s="110"/>
      <c r="P22" s="152"/>
      <c r="Q22" s="152"/>
      <c r="R22" s="136"/>
    </row>
    <row r="23" spans="1:19" x14ac:dyDescent="0.2">
      <c r="A23" s="107" t="s">
        <v>108</v>
      </c>
      <c r="B23" s="110" t="s">
        <v>28</v>
      </c>
      <c r="C23" s="110" t="s">
        <v>28</v>
      </c>
      <c r="D23" s="138" t="s">
        <v>28</v>
      </c>
      <c r="E23" s="138" t="s">
        <v>28</v>
      </c>
      <c r="F23" s="110" t="s">
        <v>28</v>
      </c>
      <c r="G23" s="110" t="s">
        <v>28</v>
      </c>
      <c r="H23" s="110">
        <v>21136.182000000001</v>
      </c>
      <c r="I23" s="110">
        <v>26281</v>
      </c>
      <c r="J23" s="138">
        <v>38</v>
      </c>
      <c r="K23" s="138">
        <v>39</v>
      </c>
      <c r="L23" s="138">
        <v>163</v>
      </c>
      <c r="M23" s="110">
        <v>2952</v>
      </c>
      <c r="N23" s="110">
        <v>29435</v>
      </c>
      <c r="O23" s="110"/>
      <c r="P23" s="152"/>
      <c r="Q23" s="152"/>
      <c r="R23" s="136"/>
    </row>
    <row r="24" spans="1:19" x14ac:dyDescent="0.2">
      <c r="A24" s="107" t="s">
        <v>14</v>
      </c>
      <c r="B24" s="110">
        <v>20</v>
      </c>
      <c r="C24" s="110">
        <v>5</v>
      </c>
      <c r="D24" s="138">
        <v>409</v>
      </c>
      <c r="E24" s="138">
        <v>468</v>
      </c>
      <c r="F24" s="110" t="s">
        <v>28</v>
      </c>
      <c r="G24" s="110" t="s">
        <v>28</v>
      </c>
      <c r="H24" s="150">
        <v>4753.1639999999998</v>
      </c>
      <c r="I24" s="110">
        <v>7899</v>
      </c>
      <c r="J24" s="138">
        <v>11562</v>
      </c>
      <c r="K24" s="138">
        <v>3541</v>
      </c>
      <c r="L24" s="138">
        <v>17971</v>
      </c>
      <c r="M24" s="110">
        <v>21886</v>
      </c>
      <c r="N24" s="110">
        <v>51770</v>
      </c>
      <c r="O24" s="110"/>
      <c r="P24" s="152"/>
      <c r="Q24" s="152"/>
      <c r="R24" s="136"/>
    </row>
    <row r="25" spans="1:19" x14ac:dyDescent="0.2">
      <c r="A25" s="107" t="s">
        <v>15</v>
      </c>
      <c r="B25" s="110" t="s">
        <v>28</v>
      </c>
      <c r="C25" s="110" t="s">
        <v>28</v>
      </c>
      <c r="D25" s="138" t="s">
        <v>28</v>
      </c>
      <c r="E25" s="138" t="s">
        <v>28</v>
      </c>
      <c r="F25" s="110" t="s">
        <v>28</v>
      </c>
      <c r="G25" s="110" t="s">
        <v>28</v>
      </c>
      <c r="H25" s="110" t="s">
        <v>28</v>
      </c>
      <c r="I25" s="110">
        <v>35</v>
      </c>
      <c r="J25" s="138" t="s">
        <v>28</v>
      </c>
      <c r="K25" s="138" t="s">
        <v>28</v>
      </c>
      <c r="L25" s="138">
        <v>1</v>
      </c>
      <c r="M25" s="110">
        <v>196</v>
      </c>
      <c r="N25" s="110">
        <v>232</v>
      </c>
      <c r="O25" s="110"/>
      <c r="P25" s="152"/>
      <c r="Q25" s="152"/>
      <c r="R25" s="136"/>
    </row>
    <row r="26" spans="1:19" x14ac:dyDescent="0.2">
      <c r="A26" s="107" t="s">
        <v>16</v>
      </c>
      <c r="B26" s="110" t="s">
        <v>28</v>
      </c>
      <c r="C26" s="110" t="s">
        <v>28</v>
      </c>
      <c r="D26" s="138">
        <v>151</v>
      </c>
      <c r="E26" s="138">
        <v>192</v>
      </c>
      <c r="F26" s="110" t="s">
        <v>28</v>
      </c>
      <c r="G26" s="110" t="s">
        <v>28</v>
      </c>
      <c r="H26" s="110">
        <v>802.86199999999997</v>
      </c>
      <c r="I26" s="110">
        <v>1972</v>
      </c>
      <c r="J26" s="138">
        <v>227</v>
      </c>
      <c r="K26" s="138">
        <v>364</v>
      </c>
      <c r="L26" s="138">
        <v>209</v>
      </c>
      <c r="M26" s="110">
        <v>4561</v>
      </c>
      <c r="N26" s="110">
        <v>7298</v>
      </c>
      <c r="O26" s="110"/>
      <c r="P26" s="152"/>
      <c r="Q26" s="152"/>
      <c r="R26" s="136"/>
    </row>
    <row r="27" spans="1:19" x14ac:dyDescent="0.2">
      <c r="A27" s="107" t="s">
        <v>17</v>
      </c>
      <c r="B27" s="110" t="s">
        <v>28</v>
      </c>
      <c r="C27" s="110" t="s">
        <v>28</v>
      </c>
      <c r="D27" s="138" t="s">
        <v>28</v>
      </c>
      <c r="E27" s="138" t="s">
        <v>28</v>
      </c>
      <c r="F27" s="110" t="s">
        <v>28</v>
      </c>
      <c r="G27" s="110" t="s">
        <v>28</v>
      </c>
      <c r="H27" s="110">
        <v>3.1909999999999998</v>
      </c>
      <c r="I27" s="110">
        <v>17</v>
      </c>
      <c r="J27" s="138" t="s">
        <v>28</v>
      </c>
      <c r="K27" s="138" t="s">
        <v>28</v>
      </c>
      <c r="L27" s="138">
        <v>26</v>
      </c>
      <c r="M27" s="110">
        <v>64</v>
      </c>
      <c r="N27" s="110">
        <v>107</v>
      </c>
      <c r="O27" s="110"/>
      <c r="P27" s="152"/>
      <c r="Q27" s="152"/>
      <c r="R27" s="136"/>
    </row>
    <row r="28" spans="1:19" x14ac:dyDescent="0.2">
      <c r="A28" s="107" t="s">
        <v>18</v>
      </c>
      <c r="B28" s="110" t="s">
        <v>28</v>
      </c>
      <c r="C28" s="110" t="s">
        <v>28</v>
      </c>
      <c r="D28" s="138">
        <v>741</v>
      </c>
      <c r="E28" s="138">
        <v>741</v>
      </c>
      <c r="F28" s="110" t="s">
        <v>28</v>
      </c>
      <c r="G28" s="110" t="s">
        <v>28</v>
      </c>
      <c r="H28" s="150" t="s">
        <v>28</v>
      </c>
      <c r="I28" s="110" t="s">
        <v>28</v>
      </c>
      <c r="J28" s="138">
        <v>2</v>
      </c>
      <c r="K28" s="138">
        <v>3</v>
      </c>
      <c r="L28" s="138" t="s">
        <v>28</v>
      </c>
      <c r="M28" s="150" t="s">
        <v>28</v>
      </c>
      <c r="N28" s="110">
        <v>744</v>
      </c>
      <c r="O28" s="110"/>
      <c r="P28" s="152"/>
      <c r="Q28" s="152"/>
      <c r="R28" s="136"/>
    </row>
    <row r="29" spans="1:19" x14ac:dyDescent="0.2">
      <c r="A29" s="107" t="s">
        <v>19</v>
      </c>
      <c r="B29" s="110" t="s">
        <v>28</v>
      </c>
      <c r="C29" s="110" t="s">
        <v>28</v>
      </c>
      <c r="D29" s="138" t="s">
        <v>28</v>
      </c>
      <c r="E29" s="138" t="s">
        <v>28</v>
      </c>
      <c r="F29" s="110" t="s">
        <v>28</v>
      </c>
      <c r="G29" s="110" t="s">
        <v>28</v>
      </c>
      <c r="H29" s="110">
        <v>3.0219999999999998</v>
      </c>
      <c r="I29" s="110">
        <v>35</v>
      </c>
      <c r="J29" s="138" t="s">
        <v>28</v>
      </c>
      <c r="K29" s="138" t="s">
        <v>28</v>
      </c>
      <c r="L29" s="138">
        <v>236</v>
      </c>
      <c r="M29" s="110">
        <v>538</v>
      </c>
      <c r="N29" s="110">
        <v>809</v>
      </c>
      <c r="O29" s="110"/>
      <c r="P29" s="152"/>
      <c r="Q29" s="152"/>
      <c r="R29" s="136"/>
    </row>
    <row r="30" spans="1:19" x14ac:dyDescent="0.2">
      <c r="A30" s="107" t="s">
        <v>20</v>
      </c>
      <c r="B30" s="110" t="s">
        <v>28</v>
      </c>
      <c r="C30" s="110" t="s">
        <v>28</v>
      </c>
      <c r="D30" s="138" t="s">
        <v>28</v>
      </c>
      <c r="E30" s="138" t="s">
        <v>28</v>
      </c>
      <c r="F30" s="110" t="s">
        <v>28</v>
      </c>
      <c r="G30" s="110" t="s">
        <v>28</v>
      </c>
      <c r="H30" s="110">
        <v>596.12400000000002</v>
      </c>
      <c r="I30" s="110">
        <v>1035</v>
      </c>
      <c r="J30" s="138">
        <v>779</v>
      </c>
      <c r="K30" s="138">
        <v>587</v>
      </c>
      <c r="L30" s="138">
        <v>4</v>
      </c>
      <c r="M30" s="110">
        <v>1535</v>
      </c>
      <c r="N30" s="110">
        <v>3161</v>
      </c>
      <c r="O30" s="110"/>
      <c r="P30" s="152"/>
      <c r="Q30" s="152"/>
      <c r="R30" s="136"/>
    </row>
    <row r="31" spans="1:19" x14ac:dyDescent="0.2">
      <c r="A31" s="107" t="s">
        <v>21</v>
      </c>
      <c r="B31" s="110" t="s">
        <v>28</v>
      </c>
      <c r="C31" s="110" t="s">
        <v>28</v>
      </c>
      <c r="D31" s="138" t="s">
        <v>28</v>
      </c>
      <c r="E31" s="138" t="s">
        <v>28</v>
      </c>
      <c r="F31" s="110" t="s">
        <v>28</v>
      </c>
      <c r="G31" s="110" t="s">
        <v>28</v>
      </c>
      <c r="H31" s="110">
        <v>5990.7889999999998</v>
      </c>
      <c r="I31" s="110">
        <v>30891</v>
      </c>
      <c r="J31" s="138">
        <v>10557</v>
      </c>
      <c r="K31" s="138">
        <v>110</v>
      </c>
      <c r="L31" s="138">
        <v>589</v>
      </c>
      <c r="M31" s="110">
        <v>2319</v>
      </c>
      <c r="N31" s="110">
        <v>33909</v>
      </c>
      <c r="O31" s="110"/>
      <c r="P31" s="152"/>
      <c r="Q31" s="152"/>
      <c r="R31" s="136"/>
    </row>
    <row r="32" spans="1:19" x14ac:dyDescent="0.2">
      <c r="A32" s="107" t="s">
        <v>22</v>
      </c>
      <c r="B32" s="110">
        <v>22</v>
      </c>
      <c r="C32" s="110">
        <v>20</v>
      </c>
      <c r="D32" s="138" t="s">
        <v>28</v>
      </c>
      <c r="E32" s="138" t="s">
        <v>28</v>
      </c>
      <c r="F32" s="110" t="s">
        <v>28</v>
      </c>
      <c r="G32" s="110" t="s">
        <v>28</v>
      </c>
      <c r="H32" s="110">
        <v>9070.9609999999993</v>
      </c>
      <c r="I32" s="110">
        <v>9485</v>
      </c>
      <c r="J32" s="138">
        <v>17834.057000000001</v>
      </c>
      <c r="K32" s="138">
        <v>1870</v>
      </c>
      <c r="L32" s="138">
        <v>29</v>
      </c>
      <c r="M32" s="110">
        <v>488</v>
      </c>
      <c r="N32" s="110">
        <v>11892</v>
      </c>
      <c r="O32" s="110"/>
      <c r="P32" s="152"/>
      <c r="Q32" s="152"/>
      <c r="R32" s="136"/>
    </row>
    <row r="33" spans="1:18" x14ac:dyDescent="0.2">
      <c r="A33" s="107" t="s">
        <v>23</v>
      </c>
      <c r="B33" s="110" t="s">
        <v>28</v>
      </c>
      <c r="C33" s="110" t="s">
        <v>28</v>
      </c>
      <c r="D33" s="138" t="s">
        <v>28</v>
      </c>
      <c r="E33" s="138" t="s">
        <v>28</v>
      </c>
      <c r="F33" s="110" t="s">
        <v>28</v>
      </c>
      <c r="G33" s="110" t="s">
        <v>28</v>
      </c>
      <c r="H33" s="110">
        <v>596.53300000000002</v>
      </c>
      <c r="I33" s="110">
        <v>2919</v>
      </c>
      <c r="J33" s="138">
        <v>525</v>
      </c>
      <c r="K33" s="138">
        <v>935</v>
      </c>
      <c r="L33" s="138">
        <v>352</v>
      </c>
      <c r="M33" s="110">
        <v>1016</v>
      </c>
      <c r="N33" s="110">
        <v>5222</v>
      </c>
      <c r="O33" s="110"/>
      <c r="P33" s="152"/>
      <c r="Q33" s="152"/>
      <c r="R33" s="136"/>
    </row>
    <row r="34" spans="1:18" x14ac:dyDescent="0.2">
      <c r="A34" s="107" t="s">
        <v>24</v>
      </c>
      <c r="B34" s="110" t="s">
        <v>28</v>
      </c>
      <c r="C34" s="110" t="s">
        <v>28</v>
      </c>
      <c r="D34" s="138">
        <v>76</v>
      </c>
      <c r="E34" s="138">
        <v>2</v>
      </c>
      <c r="F34" s="110" t="s">
        <v>28</v>
      </c>
      <c r="G34" s="110" t="s">
        <v>28</v>
      </c>
      <c r="H34" s="110">
        <v>7294.652</v>
      </c>
      <c r="I34" s="110">
        <v>10098</v>
      </c>
      <c r="J34" s="138">
        <v>116</v>
      </c>
      <c r="K34" s="138">
        <v>266</v>
      </c>
      <c r="L34" s="138">
        <v>186</v>
      </c>
      <c r="M34" s="110">
        <v>2498</v>
      </c>
      <c r="N34" s="110">
        <v>13050</v>
      </c>
      <c r="O34" s="110"/>
      <c r="P34" s="152"/>
      <c r="Q34" s="152"/>
      <c r="R34" s="136"/>
    </row>
    <row r="35" spans="1:18" x14ac:dyDescent="0.2">
      <c r="A35" s="107" t="s">
        <v>25</v>
      </c>
      <c r="B35" s="110" t="s">
        <v>28</v>
      </c>
      <c r="C35" s="110" t="s">
        <v>28</v>
      </c>
      <c r="D35" s="138" t="s">
        <v>28</v>
      </c>
      <c r="E35" s="138" t="s">
        <v>28</v>
      </c>
      <c r="F35" s="110" t="s">
        <v>28</v>
      </c>
      <c r="G35" s="110" t="s">
        <v>28</v>
      </c>
      <c r="H35" s="110">
        <v>18.882999999999999</v>
      </c>
      <c r="I35" s="110">
        <v>416</v>
      </c>
      <c r="J35" s="138">
        <v>86</v>
      </c>
      <c r="K35" s="138">
        <v>178</v>
      </c>
      <c r="L35" s="138">
        <v>69</v>
      </c>
      <c r="M35" s="110">
        <v>169</v>
      </c>
      <c r="N35" s="110">
        <v>832</v>
      </c>
      <c r="O35" s="110"/>
      <c r="P35" s="152"/>
      <c r="Q35" s="152"/>
      <c r="R35" s="136"/>
    </row>
    <row r="36" spans="1:18" x14ac:dyDescent="0.2">
      <c r="A36" s="107" t="s">
        <v>26</v>
      </c>
      <c r="B36" s="110" t="s">
        <v>28</v>
      </c>
      <c r="C36" s="110" t="s">
        <v>28</v>
      </c>
      <c r="D36" s="138" t="s">
        <v>28</v>
      </c>
      <c r="E36" s="138">
        <v>1</v>
      </c>
      <c r="F36" s="110" t="s">
        <v>28</v>
      </c>
      <c r="G36" s="110" t="s">
        <v>28</v>
      </c>
      <c r="H36" s="110">
        <v>3347.163</v>
      </c>
      <c r="I36" s="110">
        <v>5425</v>
      </c>
      <c r="J36" s="138">
        <v>1503</v>
      </c>
      <c r="K36" s="138">
        <v>145</v>
      </c>
      <c r="L36" s="138">
        <v>9301</v>
      </c>
      <c r="M36" s="110">
        <v>5592</v>
      </c>
      <c r="N36" s="110">
        <v>20464</v>
      </c>
      <c r="O36" s="110"/>
      <c r="P36" s="152"/>
      <c r="Q36" s="152"/>
      <c r="R36" s="136"/>
    </row>
    <row r="37" spans="1:18" x14ac:dyDescent="0.2">
      <c r="A37" s="107" t="s">
        <v>95</v>
      </c>
      <c r="B37" s="110">
        <v>924</v>
      </c>
      <c r="C37" s="110">
        <v>1149</v>
      </c>
      <c r="D37" s="138">
        <v>8462</v>
      </c>
      <c r="E37" s="138">
        <v>5482</v>
      </c>
      <c r="F37" s="110">
        <v>362</v>
      </c>
      <c r="G37" s="110">
        <v>478</v>
      </c>
      <c r="H37" s="110">
        <v>23174.350999999999</v>
      </c>
      <c r="I37" s="110">
        <v>41983</v>
      </c>
      <c r="J37" s="138">
        <v>6632</v>
      </c>
      <c r="K37" s="138">
        <v>2520</v>
      </c>
      <c r="L37" s="138">
        <v>3069</v>
      </c>
      <c r="M37" s="110">
        <v>25074</v>
      </c>
      <c r="N37" s="110">
        <v>79755</v>
      </c>
      <c r="O37" s="110"/>
      <c r="P37" s="152"/>
      <c r="Q37" s="152"/>
      <c r="R37" s="136"/>
    </row>
    <row r="38" spans="1:18" x14ac:dyDescent="0.2">
      <c r="A38" s="107" t="s">
        <v>107</v>
      </c>
      <c r="B38" s="110" t="s">
        <v>28</v>
      </c>
      <c r="C38" s="110" t="s">
        <v>28</v>
      </c>
      <c r="D38" s="138">
        <v>94</v>
      </c>
      <c r="E38" s="138">
        <v>143</v>
      </c>
      <c r="F38" s="110" t="s">
        <v>28</v>
      </c>
      <c r="G38" s="110" t="s">
        <v>28</v>
      </c>
      <c r="H38" s="110">
        <v>2426.163</v>
      </c>
      <c r="I38" s="110">
        <v>3863</v>
      </c>
      <c r="J38" s="138" t="s">
        <v>28</v>
      </c>
      <c r="K38" s="138">
        <v>2</v>
      </c>
      <c r="L38" s="138">
        <v>40349</v>
      </c>
      <c r="M38" s="110">
        <v>4293</v>
      </c>
      <c r="N38" s="110">
        <v>48650</v>
      </c>
      <c r="O38" s="110"/>
      <c r="P38" s="152"/>
      <c r="Q38" s="152"/>
      <c r="R38" s="136"/>
    </row>
    <row r="39" spans="1:18" x14ac:dyDescent="0.2">
      <c r="A39" s="107" t="s">
        <v>75</v>
      </c>
      <c r="B39" s="110">
        <v>2937</v>
      </c>
      <c r="C39" s="110">
        <v>3321</v>
      </c>
      <c r="D39" s="138">
        <v>9656</v>
      </c>
      <c r="E39" s="138">
        <v>13325</v>
      </c>
      <c r="F39" s="110">
        <v>12977</v>
      </c>
      <c r="G39" s="110">
        <v>9811</v>
      </c>
      <c r="H39" s="110">
        <v>5976.4290000000001</v>
      </c>
      <c r="I39" s="110">
        <v>9617</v>
      </c>
      <c r="J39" s="138">
        <v>41409</v>
      </c>
      <c r="K39" s="138">
        <v>16099</v>
      </c>
      <c r="L39" s="138">
        <v>4061</v>
      </c>
      <c r="M39" s="110">
        <v>27447</v>
      </c>
      <c r="N39" s="110">
        <v>83681</v>
      </c>
      <c r="O39" s="110"/>
      <c r="P39" s="152"/>
      <c r="Q39" s="152"/>
      <c r="R39" s="136"/>
    </row>
    <row r="40" spans="1:18" x14ac:dyDescent="0.2">
      <c r="A40" s="113" t="s">
        <v>27</v>
      </c>
      <c r="B40" s="114">
        <v>5814</v>
      </c>
      <c r="C40" s="114">
        <v>6042</v>
      </c>
      <c r="D40" s="143">
        <v>55668</v>
      </c>
      <c r="E40" s="143">
        <v>62501</v>
      </c>
      <c r="F40" s="114">
        <v>18815</v>
      </c>
      <c r="G40" s="114">
        <v>14615</v>
      </c>
      <c r="H40" s="114">
        <v>440845</v>
      </c>
      <c r="I40" s="114">
        <v>615040</v>
      </c>
      <c r="J40" s="143">
        <v>292886</v>
      </c>
      <c r="K40" s="143">
        <v>47803</v>
      </c>
      <c r="L40" s="143">
        <v>284088</v>
      </c>
      <c r="M40" s="114">
        <v>461640</v>
      </c>
      <c r="N40" s="114">
        <v>1491733</v>
      </c>
      <c r="O40" s="147"/>
      <c r="P40" s="152"/>
      <c r="Q40" s="149"/>
    </row>
    <row r="41" spans="1:18" x14ac:dyDescent="0.2">
      <c r="B41" s="136"/>
      <c r="C41" s="136"/>
      <c r="D41" s="136"/>
      <c r="E41" s="136"/>
      <c r="F41" s="136"/>
      <c r="G41" s="136"/>
      <c r="H41" s="136"/>
      <c r="I41" s="136"/>
      <c r="J41" s="136"/>
      <c r="K41" s="136"/>
      <c r="L41" s="136"/>
      <c r="M41" s="136"/>
      <c r="N41" s="136"/>
      <c r="O41" s="136">
        <f>SUM(O6:O39)</f>
        <v>0</v>
      </c>
      <c r="P41" s="153"/>
      <c r="Q41" s="153"/>
    </row>
    <row r="42" spans="1:18" x14ac:dyDescent="0.2">
      <c r="A42" s="116" t="s">
        <v>48</v>
      </c>
      <c r="C42" s="137"/>
      <c r="D42" s="137"/>
      <c r="E42" s="137"/>
      <c r="F42" s="137"/>
      <c r="G42" s="139"/>
      <c r="H42" s="137"/>
      <c r="I42" s="137"/>
      <c r="J42" s="137"/>
      <c r="K42" s="137"/>
    </row>
    <row r="43" spans="1:18" x14ac:dyDescent="0.2">
      <c r="A43" s="117" t="s">
        <v>225</v>
      </c>
    </row>
    <row r="44" spans="1:18" x14ac:dyDescent="0.2">
      <c r="A44" s="117"/>
    </row>
    <row r="45" spans="1:18" x14ac:dyDescent="0.2">
      <c r="A45" s="108" t="s">
        <v>37</v>
      </c>
    </row>
    <row r="46" spans="1:18" x14ac:dyDescent="0.2">
      <c r="A46" s="118" t="s">
        <v>104</v>
      </c>
    </row>
    <row r="47" spans="1:18" x14ac:dyDescent="0.2">
      <c r="A47" s="118" t="s">
        <v>55</v>
      </c>
    </row>
    <row r="48" spans="1:18" x14ac:dyDescent="0.2">
      <c r="A48" s="118" t="s">
        <v>56</v>
      </c>
    </row>
    <row r="49" spans="1:1" x14ac:dyDescent="0.2">
      <c r="A49" s="118" t="s">
        <v>67</v>
      </c>
    </row>
    <row r="50" spans="1:1" x14ac:dyDescent="0.2">
      <c r="A50" s="118" t="s">
        <v>68</v>
      </c>
    </row>
    <row r="51" spans="1:1" x14ac:dyDescent="0.2">
      <c r="A51" s="118" t="s">
        <v>72</v>
      </c>
    </row>
    <row r="52" spans="1:1" x14ac:dyDescent="0.2">
      <c r="A52" s="118" t="s">
        <v>73</v>
      </c>
    </row>
    <row r="53" spans="1:1" x14ac:dyDescent="0.2">
      <c r="A53" s="118" t="s">
        <v>74</v>
      </c>
    </row>
    <row r="54" spans="1:1" x14ac:dyDescent="0.2">
      <c r="A54" s="119"/>
    </row>
    <row r="55" spans="1:1" x14ac:dyDescent="0.2">
      <c r="A55" s="108" t="s">
        <v>50</v>
      </c>
    </row>
    <row r="56" spans="1:1" x14ac:dyDescent="0.2">
      <c r="A56" s="120" t="s">
        <v>105</v>
      </c>
    </row>
  </sheetData>
  <mergeCells count="6">
    <mergeCell ref="J3:K3"/>
    <mergeCell ref="A3:A5"/>
    <mergeCell ref="B3:C3"/>
    <mergeCell ref="D3:E3"/>
    <mergeCell ref="F3:G3"/>
    <mergeCell ref="H3:I3"/>
  </mergeCells>
  <pageMargins left="0.75" right="0.75" top="1" bottom="1" header="0.5" footer="0.5"/>
  <pageSetup paperSize="9" scale="73"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56"/>
  <sheetViews>
    <sheetView zoomScaleNormal="100" workbookViewId="0"/>
  </sheetViews>
  <sheetFormatPr defaultRowHeight="12.75" x14ac:dyDescent="0.2"/>
  <cols>
    <col min="1" max="1" width="30.7109375" customWidth="1"/>
    <col min="2" max="11" width="9.7109375" customWidth="1"/>
    <col min="12" max="13" width="13.7109375" customWidth="1"/>
    <col min="14" max="14" width="1.85546875" customWidth="1"/>
    <col min="15" max="15" width="13.7109375" customWidth="1"/>
    <col min="16" max="16" width="2" customWidth="1"/>
  </cols>
  <sheetData>
    <row r="1" spans="1:16" ht="16.5" x14ac:dyDescent="0.2">
      <c r="A1" s="76" t="s">
        <v>228</v>
      </c>
    </row>
    <row r="3" spans="1:16" s="105" customFormat="1" ht="21" x14ac:dyDescent="0.2">
      <c r="A3" s="163" t="s">
        <v>38</v>
      </c>
      <c r="B3" s="165" t="s">
        <v>36</v>
      </c>
      <c r="C3" s="165"/>
      <c r="D3" s="166" t="s">
        <v>90</v>
      </c>
      <c r="E3" s="167"/>
      <c r="F3" s="165" t="s">
        <v>35</v>
      </c>
      <c r="G3" s="165"/>
      <c r="H3" s="165" t="s">
        <v>91</v>
      </c>
      <c r="I3" s="165"/>
      <c r="J3" s="162" t="s">
        <v>70</v>
      </c>
      <c r="K3" s="162"/>
      <c r="L3" s="106" t="s">
        <v>92</v>
      </c>
      <c r="M3" s="106" t="s">
        <v>71</v>
      </c>
      <c r="N3" s="106"/>
      <c r="O3" s="140" t="s">
        <v>34</v>
      </c>
      <c r="P3" s="107"/>
    </row>
    <row r="4" spans="1:16" s="105" customFormat="1" x14ac:dyDescent="0.2">
      <c r="A4" s="163"/>
      <c r="B4" s="108" t="s">
        <v>59</v>
      </c>
      <c r="C4" s="108" t="s">
        <v>57</v>
      </c>
      <c r="D4" s="141" t="s">
        <v>69</v>
      </c>
      <c r="E4" s="141" t="s">
        <v>57</v>
      </c>
      <c r="F4" s="108" t="s">
        <v>58</v>
      </c>
      <c r="G4" s="108" t="s">
        <v>57</v>
      </c>
      <c r="H4" s="108" t="s">
        <v>58</v>
      </c>
      <c r="I4" s="108" t="s">
        <v>57</v>
      </c>
      <c r="J4" s="141" t="s">
        <v>58</v>
      </c>
      <c r="K4" s="141" t="s">
        <v>57</v>
      </c>
      <c r="L4" s="108" t="s">
        <v>57</v>
      </c>
      <c r="M4" s="108" t="s">
        <v>57</v>
      </c>
      <c r="N4" s="108"/>
      <c r="O4" s="141" t="s">
        <v>57</v>
      </c>
      <c r="P4" s="107"/>
    </row>
    <row r="5" spans="1:16" s="105" customFormat="1" x14ac:dyDescent="0.2">
      <c r="A5" s="164"/>
      <c r="B5" s="109" t="s">
        <v>60</v>
      </c>
      <c r="C5" s="109" t="s">
        <v>61</v>
      </c>
      <c r="D5" s="142" t="s">
        <v>62</v>
      </c>
      <c r="E5" s="142" t="s">
        <v>61</v>
      </c>
      <c r="F5" s="109" t="s">
        <v>63</v>
      </c>
      <c r="G5" s="109" t="s">
        <v>61</v>
      </c>
      <c r="H5" s="109" t="s">
        <v>63</v>
      </c>
      <c r="I5" s="109" t="s">
        <v>61</v>
      </c>
      <c r="J5" s="142" t="s">
        <v>64</v>
      </c>
      <c r="K5" s="142" t="s">
        <v>61</v>
      </c>
      <c r="L5" s="109" t="s">
        <v>61</v>
      </c>
      <c r="M5" s="109" t="s">
        <v>61</v>
      </c>
      <c r="N5" s="109"/>
      <c r="O5" s="142" t="s">
        <v>61</v>
      </c>
      <c r="P5" s="107"/>
    </row>
    <row r="6" spans="1:16" x14ac:dyDescent="0.2">
      <c r="A6" s="107" t="s">
        <v>0</v>
      </c>
      <c r="B6" s="110">
        <v>2397</v>
      </c>
      <c r="C6" s="110">
        <v>2316</v>
      </c>
      <c r="D6" s="138">
        <v>4349</v>
      </c>
      <c r="E6" s="138">
        <v>6459</v>
      </c>
      <c r="F6" s="110" t="s">
        <v>28</v>
      </c>
      <c r="G6" s="110" t="s">
        <v>28</v>
      </c>
      <c r="H6" s="110">
        <v>176524.09599999999</v>
      </c>
      <c r="I6" s="110">
        <v>224032</v>
      </c>
      <c r="J6" s="138">
        <v>27410</v>
      </c>
      <c r="K6" s="138">
        <v>4316</v>
      </c>
      <c r="L6" s="110">
        <v>3699</v>
      </c>
      <c r="M6" s="110">
        <v>148075</v>
      </c>
      <c r="N6" s="110"/>
      <c r="O6" s="138">
        <v>388897</v>
      </c>
      <c r="P6" s="136"/>
    </row>
    <row r="7" spans="1:16" x14ac:dyDescent="0.2">
      <c r="A7" s="107" t="s">
        <v>1</v>
      </c>
      <c r="B7" s="110" t="s">
        <v>28</v>
      </c>
      <c r="C7" s="110" t="s">
        <v>28</v>
      </c>
      <c r="D7" s="138">
        <v>4</v>
      </c>
      <c r="E7" s="138">
        <v>6</v>
      </c>
      <c r="F7" s="110" t="s">
        <v>28</v>
      </c>
      <c r="G7" s="110" t="s">
        <v>28</v>
      </c>
      <c r="H7" s="110">
        <v>985.58100000000002</v>
      </c>
      <c r="I7" s="110">
        <v>2485</v>
      </c>
      <c r="J7" s="138">
        <v>222</v>
      </c>
      <c r="K7" s="138">
        <v>297</v>
      </c>
      <c r="L7" s="110">
        <v>43</v>
      </c>
      <c r="M7" s="110">
        <v>325</v>
      </c>
      <c r="N7" s="110"/>
      <c r="O7" s="138">
        <v>3156</v>
      </c>
      <c r="P7" s="136"/>
    </row>
    <row r="8" spans="1:16" x14ac:dyDescent="0.2">
      <c r="A8" s="107" t="s">
        <v>2</v>
      </c>
      <c r="B8" s="110" t="s">
        <v>28</v>
      </c>
      <c r="C8" s="110" t="s">
        <v>28</v>
      </c>
      <c r="D8" s="138" t="s">
        <v>28</v>
      </c>
      <c r="E8" s="138" t="s">
        <v>28</v>
      </c>
      <c r="F8" s="110" t="s">
        <v>28</v>
      </c>
      <c r="G8" s="110" t="s">
        <v>28</v>
      </c>
      <c r="H8" s="110">
        <v>748.00400000000002</v>
      </c>
      <c r="I8" s="110">
        <v>2588</v>
      </c>
      <c r="J8" s="138">
        <v>17899</v>
      </c>
      <c r="K8" s="138">
        <v>1589</v>
      </c>
      <c r="L8" s="110">
        <v>45</v>
      </c>
      <c r="M8" s="110">
        <v>6984</v>
      </c>
      <c r="N8" s="110"/>
      <c r="O8" s="138">
        <v>11206</v>
      </c>
      <c r="P8" s="136"/>
    </row>
    <row r="9" spans="1:16" x14ac:dyDescent="0.2">
      <c r="A9" s="107" t="s">
        <v>3</v>
      </c>
      <c r="B9" s="110" t="s">
        <v>28</v>
      </c>
      <c r="C9" s="110" t="s">
        <v>28</v>
      </c>
      <c r="D9" s="138">
        <v>169</v>
      </c>
      <c r="E9" s="138">
        <v>376</v>
      </c>
      <c r="F9" s="110">
        <v>1531</v>
      </c>
      <c r="G9" s="110">
        <v>1365</v>
      </c>
      <c r="H9" s="110">
        <v>5076.4229999999998</v>
      </c>
      <c r="I9" s="110">
        <v>6509</v>
      </c>
      <c r="J9" s="138">
        <v>846</v>
      </c>
      <c r="K9" s="138">
        <v>498</v>
      </c>
      <c r="L9" s="110">
        <v>396</v>
      </c>
      <c r="M9" s="110">
        <v>640</v>
      </c>
      <c r="N9" s="110"/>
      <c r="O9" s="138">
        <v>9784</v>
      </c>
      <c r="P9" s="136"/>
    </row>
    <row r="10" spans="1:16" x14ac:dyDescent="0.2">
      <c r="A10" s="107" t="s">
        <v>86</v>
      </c>
      <c r="B10" s="110" t="s">
        <v>28</v>
      </c>
      <c r="C10" s="110" t="s">
        <v>28</v>
      </c>
      <c r="D10" s="138">
        <v>2</v>
      </c>
      <c r="E10" s="138">
        <v>4</v>
      </c>
      <c r="F10" s="110" t="s">
        <v>28</v>
      </c>
      <c r="G10" s="110" t="s">
        <v>28</v>
      </c>
      <c r="H10" s="110">
        <v>2895.9609999999998</v>
      </c>
      <c r="I10" s="110">
        <v>7571</v>
      </c>
      <c r="J10" s="138">
        <v>972</v>
      </c>
      <c r="K10" s="138">
        <v>121</v>
      </c>
      <c r="L10" s="110">
        <v>2136</v>
      </c>
      <c r="M10" s="110">
        <v>5977</v>
      </c>
      <c r="N10" s="110"/>
      <c r="O10" s="138">
        <v>15809</v>
      </c>
      <c r="P10" s="136"/>
    </row>
    <row r="11" spans="1:16" x14ac:dyDescent="0.2">
      <c r="A11" s="107" t="s">
        <v>4</v>
      </c>
      <c r="B11" s="110" t="s">
        <v>28</v>
      </c>
      <c r="C11" s="110" t="s">
        <v>28</v>
      </c>
      <c r="D11" s="138">
        <v>17439</v>
      </c>
      <c r="E11" s="138">
        <v>21916</v>
      </c>
      <c r="F11" s="110">
        <v>12203</v>
      </c>
      <c r="G11" s="110">
        <v>8970</v>
      </c>
      <c r="H11" s="110">
        <v>8144.5389999999998</v>
      </c>
      <c r="I11" s="110">
        <v>11178</v>
      </c>
      <c r="J11" s="138">
        <v>249</v>
      </c>
      <c r="K11" s="138">
        <v>259</v>
      </c>
      <c r="L11" s="110">
        <v>42</v>
      </c>
      <c r="M11" s="110">
        <v>3254</v>
      </c>
      <c r="N11" s="110"/>
      <c r="O11" s="138">
        <v>45619</v>
      </c>
      <c r="P11" s="136"/>
    </row>
    <row r="12" spans="1:16" x14ac:dyDescent="0.2">
      <c r="A12" s="107" t="s">
        <v>110</v>
      </c>
      <c r="B12" s="110">
        <v>2</v>
      </c>
      <c r="C12" s="110" t="s">
        <v>28</v>
      </c>
      <c r="D12" s="138">
        <v>693</v>
      </c>
      <c r="E12" s="138">
        <v>249</v>
      </c>
      <c r="F12" s="110">
        <v>5</v>
      </c>
      <c r="G12" s="110">
        <v>19</v>
      </c>
      <c r="H12" s="110">
        <v>49924.076000000001</v>
      </c>
      <c r="I12" s="110">
        <v>81054</v>
      </c>
      <c r="J12" s="138">
        <v>49752</v>
      </c>
      <c r="K12" s="138">
        <v>8214</v>
      </c>
      <c r="L12" s="110">
        <v>149557</v>
      </c>
      <c r="M12" s="110">
        <v>83678</v>
      </c>
      <c r="N12" s="110"/>
      <c r="O12" s="138">
        <v>322771</v>
      </c>
      <c r="P12" s="136"/>
    </row>
    <row r="13" spans="1:16" x14ac:dyDescent="0.2">
      <c r="A13" s="107" t="s">
        <v>5</v>
      </c>
      <c r="B13" s="110" t="s">
        <v>28</v>
      </c>
      <c r="C13" s="110" t="s">
        <v>28</v>
      </c>
      <c r="D13" s="138" t="s">
        <v>28</v>
      </c>
      <c r="E13" s="138" t="s">
        <v>28</v>
      </c>
      <c r="F13" s="110" t="s">
        <v>28</v>
      </c>
      <c r="G13" s="110" t="s">
        <v>28</v>
      </c>
      <c r="H13" s="110">
        <v>7.8E-2</v>
      </c>
      <c r="I13" s="110">
        <v>4</v>
      </c>
      <c r="J13" s="138">
        <v>1577</v>
      </c>
      <c r="K13" s="138">
        <v>6</v>
      </c>
      <c r="L13" s="110">
        <v>691</v>
      </c>
      <c r="M13" s="110">
        <v>4338</v>
      </c>
      <c r="N13" s="110"/>
      <c r="O13" s="138">
        <v>5039</v>
      </c>
      <c r="P13" s="136"/>
    </row>
    <row r="14" spans="1:16" x14ac:dyDescent="0.2">
      <c r="A14" s="107" t="s">
        <v>6</v>
      </c>
      <c r="B14" s="110">
        <v>113</v>
      </c>
      <c r="C14" s="110">
        <v>108</v>
      </c>
      <c r="D14" s="138">
        <v>2178</v>
      </c>
      <c r="E14" s="138">
        <v>2663</v>
      </c>
      <c r="F14" s="110" t="s">
        <v>28</v>
      </c>
      <c r="G14" s="110" t="s">
        <v>28</v>
      </c>
      <c r="H14" s="110">
        <v>8.4670000000000005</v>
      </c>
      <c r="I14" s="110">
        <v>9</v>
      </c>
      <c r="J14" s="138">
        <v>311</v>
      </c>
      <c r="K14" s="138">
        <v>480</v>
      </c>
      <c r="L14" s="110">
        <v>129</v>
      </c>
      <c r="M14" s="110">
        <v>382</v>
      </c>
      <c r="N14" s="110"/>
      <c r="O14" s="138">
        <v>3771</v>
      </c>
      <c r="P14" s="136"/>
    </row>
    <row r="15" spans="1:16" x14ac:dyDescent="0.2">
      <c r="A15" s="107" t="s">
        <v>7</v>
      </c>
      <c r="B15" s="110" t="s">
        <v>28</v>
      </c>
      <c r="C15" s="110" t="s">
        <v>28</v>
      </c>
      <c r="D15" s="138">
        <v>86</v>
      </c>
      <c r="E15" s="138">
        <v>39</v>
      </c>
      <c r="F15" s="110" t="s">
        <v>28</v>
      </c>
      <c r="G15" s="110" t="s">
        <v>28</v>
      </c>
      <c r="H15" s="110">
        <v>29094.143</v>
      </c>
      <c r="I15" s="110">
        <v>37283</v>
      </c>
      <c r="J15" s="138">
        <v>4842</v>
      </c>
      <c r="K15" s="138">
        <v>1010</v>
      </c>
      <c r="L15" s="110">
        <v>121</v>
      </c>
      <c r="M15" s="110">
        <v>2237</v>
      </c>
      <c r="N15" s="110"/>
      <c r="O15" s="138">
        <v>40690</v>
      </c>
      <c r="P15" s="136"/>
    </row>
    <row r="16" spans="1:16" x14ac:dyDescent="0.2">
      <c r="A16" s="107" t="s">
        <v>8</v>
      </c>
      <c r="B16" s="110">
        <v>30</v>
      </c>
      <c r="C16" s="110">
        <v>46</v>
      </c>
      <c r="D16" s="138">
        <v>168</v>
      </c>
      <c r="E16" s="138">
        <v>254</v>
      </c>
      <c r="F16" s="110" t="s">
        <v>28</v>
      </c>
      <c r="G16" s="110" t="s">
        <v>28</v>
      </c>
      <c r="H16" s="110">
        <v>3804.299</v>
      </c>
      <c r="I16" s="110">
        <v>9198</v>
      </c>
      <c r="J16" s="138">
        <v>624</v>
      </c>
      <c r="K16" s="138">
        <v>94</v>
      </c>
      <c r="L16" s="110">
        <v>693</v>
      </c>
      <c r="M16" s="110">
        <v>28159</v>
      </c>
      <c r="N16" s="110"/>
      <c r="O16" s="138">
        <v>38444</v>
      </c>
      <c r="P16" s="136"/>
    </row>
    <row r="17" spans="1:16" x14ac:dyDescent="0.2">
      <c r="A17" s="107" t="s">
        <v>9</v>
      </c>
      <c r="B17" s="110">
        <v>11</v>
      </c>
      <c r="C17" s="110">
        <v>14</v>
      </c>
      <c r="D17" s="138">
        <v>541</v>
      </c>
      <c r="E17" s="138">
        <v>81</v>
      </c>
      <c r="F17" s="110">
        <v>269</v>
      </c>
      <c r="G17" s="110">
        <v>335</v>
      </c>
      <c r="H17" s="110">
        <v>12653.700999999999</v>
      </c>
      <c r="I17" s="110">
        <v>26414</v>
      </c>
      <c r="J17" s="138">
        <v>11316</v>
      </c>
      <c r="K17" s="138">
        <v>1260</v>
      </c>
      <c r="L17" s="110">
        <v>2821</v>
      </c>
      <c r="M17" s="110">
        <v>17279</v>
      </c>
      <c r="N17" s="110"/>
      <c r="O17" s="138">
        <v>48204</v>
      </c>
      <c r="P17" s="136"/>
    </row>
    <row r="18" spans="1:16" x14ac:dyDescent="0.2">
      <c r="A18" s="107" t="s">
        <v>109</v>
      </c>
      <c r="B18" s="110" t="s">
        <v>28</v>
      </c>
      <c r="C18" s="110" t="s">
        <v>28</v>
      </c>
      <c r="D18" s="138">
        <v>164</v>
      </c>
      <c r="E18" s="138">
        <v>6</v>
      </c>
      <c r="F18" s="110" t="s">
        <v>28</v>
      </c>
      <c r="G18" s="110" t="s">
        <v>28</v>
      </c>
      <c r="H18" s="110">
        <v>101.23699999999999</v>
      </c>
      <c r="I18" s="110">
        <v>222</v>
      </c>
      <c r="J18" s="138">
        <v>6</v>
      </c>
      <c r="K18" s="138" t="s">
        <v>28</v>
      </c>
      <c r="L18" s="110">
        <v>189</v>
      </c>
      <c r="M18" s="110">
        <v>1890</v>
      </c>
      <c r="N18" s="110"/>
      <c r="O18" s="138">
        <v>2307</v>
      </c>
      <c r="P18" s="136"/>
    </row>
    <row r="19" spans="1:16" x14ac:dyDescent="0.2">
      <c r="A19" s="107" t="s">
        <v>10</v>
      </c>
      <c r="B19" s="110" t="s">
        <v>28</v>
      </c>
      <c r="C19" s="110" t="s">
        <v>28</v>
      </c>
      <c r="D19" s="138">
        <v>14</v>
      </c>
      <c r="E19" s="138">
        <v>73</v>
      </c>
      <c r="F19" s="110" t="s">
        <v>28</v>
      </c>
      <c r="G19" s="110" t="s">
        <v>28</v>
      </c>
      <c r="H19" s="110">
        <v>168.00800000000001</v>
      </c>
      <c r="I19" s="110">
        <v>634</v>
      </c>
      <c r="J19" s="138">
        <v>43</v>
      </c>
      <c r="K19" s="138">
        <v>56</v>
      </c>
      <c r="L19" s="110">
        <v>1830</v>
      </c>
      <c r="M19" s="110">
        <v>1281</v>
      </c>
      <c r="N19" s="110"/>
      <c r="O19" s="138">
        <v>3874</v>
      </c>
      <c r="P19" s="136"/>
    </row>
    <row r="20" spans="1:16" x14ac:dyDescent="0.2">
      <c r="A20" s="107" t="s">
        <v>11</v>
      </c>
      <c r="B20" s="110" t="s">
        <v>28</v>
      </c>
      <c r="C20" s="110">
        <v>3</v>
      </c>
      <c r="D20" s="138">
        <v>2836</v>
      </c>
      <c r="E20" s="138">
        <v>6105</v>
      </c>
      <c r="F20" s="110" t="s">
        <v>28</v>
      </c>
      <c r="G20" s="110" t="s">
        <v>28</v>
      </c>
      <c r="H20" s="110">
        <v>13741.929</v>
      </c>
      <c r="I20" s="110">
        <v>18612</v>
      </c>
      <c r="J20" s="138">
        <v>7126</v>
      </c>
      <c r="K20" s="138">
        <v>726</v>
      </c>
      <c r="L20" s="110">
        <v>8816</v>
      </c>
      <c r="M20" s="110">
        <v>41747</v>
      </c>
      <c r="N20" s="110"/>
      <c r="O20" s="138">
        <v>76009</v>
      </c>
      <c r="P20" s="136"/>
    </row>
    <row r="21" spans="1:16" x14ac:dyDescent="0.2">
      <c r="A21" s="107" t="s">
        <v>12</v>
      </c>
      <c r="B21" s="110" t="s">
        <v>28</v>
      </c>
      <c r="C21" s="110" t="s">
        <v>28</v>
      </c>
      <c r="D21" s="138">
        <v>308</v>
      </c>
      <c r="E21" s="138">
        <v>434</v>
      </c>
      <c r="F21" s="110" t="s">
        <v>28</v>
      </c>
      <c r="G21" s="110" t="s">
        <v>28</v>
      </c>
      <c r="H21" s="110">
        <v>7807.1379999999999</v>
      </c>
      <c r="I21" s="110">
        <v>12063</v>
      </c>
      <c r="J21" s="138">
        <v>1422</v>
      </c>
      <c r="K21" s="138">
        <v>1339</v>
      </c>
      <c r="L21" s="110">
        <v>5446</v>
      </c>
      <c r="M21" s="110">
        <v>5914</v>
      </c>
      <c r="N21" s="110"/>
      <c r="O21" s="138">
        <v>25196</v>
      </c>
      <c r="P21" s="136"/>
    </row>
    <row r="22" spans="1:16" x14ac:dyDescent="0.2">
      <c r="A22" s="107" t="s">
        <v>13</v>
      </c>
      <c r="B22" s="110" t="s">
        <v>28</v>
      </c>
      <c r="C22" s="110" t="s">
        <v>28</v>
      </c>
      <c r="D22" s="138">
        <v>3</v>
      </c>
      <c r="E22" s="138">
        <v>2</v>
      </c>
      <c r="F22" s="110" t="s">
        <v>28</v>
      </c>
      <c r="G22" s="110" t="s">
        <v>28</v>
      </c>
      <c r="H22" s="110">
        <v>25731.35</v>
      </c>
      <c r="I22" s="110">
        <v>35160</v>
      </c>
      <c r="J22" s="138">
        <v>1</v>
      </c>
      <c r="K22" s="138" t="s">
        <v>28</v>
      </c>
      <c r="L22" s="110">
        <v>123</v>
      </c>
      <c r="M22" s="110">
        <v>1327</v>
      </c>
      <c r="N22" s="110"/>
      <c r="O22" s="138">
        <v>36612</v>
      </c>
      <c r="P22" s="136"/>
    </row>
    <row r="23" spans="1:16" x14ac:dyDescent="0.2">
      <c r="A23" s="107" t="s">
        <v>108</v>
      </c>
      <c r="B23" s="110" t="s">
        <v>28</v>
      </c>
      <c r="C23" s="110" t="s">
        <v>28</v>
      </c>
      <c r="D23" s="138">
        <v>429</v>
      </c>
      <c r="E23" s="138">
        <v>33</v>
      </c>
      <c r="F23" s="110" t="s">
        <v>28</v>
      </c>
      <c r="G23" s="110" t="s">
        <v>28</v>
      </c>
      <c r="H23" s="110">
        <v>21927.948</v>
      </c>
      <c r="I23" s="110">
        <v>29465</v>
      </c>
      <c r="J23" s="138">
        <v>266</v>
      </c>
      <c r="K23" s="138">
        <v>17</v>
      </c>
      <c r="L23" s="110">
        <v>192</v>
      </c>
      <c r="M23" s="110">
        <v>4820</v>
      </c>
      <c r="N23" s="110"/>
      <c r="O23" s="138">
        <v>34527</v>
      </c>
      <c r="P23" s="136"/>
    </row>
    <row r="24" spans="1:16" x14ac:dyDescent="0.2">
      <c r="A24" s="107" t="s">
        <v>14</v>
      </c>
      <c r="B24" s="110">
        <v>5</v>
      </c>
      <c r="C24" s="110">
        <v>1</v>
      </c>
      <c r="D24" s="138">
        <v>552</v>
      </c>
      <c r="E24" s="138">
        <v>646</v>
      </c>
      <c r="F24" s="110" t="s">
        <v>28</v>
      </c>
      <c r="G24" s="110" t="s">
        <v>28</v>
      </c>
      <c r="H24" s="110">
        <v>3149.18</v>
      </c>
      <c r="I24" s="110">
        <v>5932</v>
      </c>
      <c r="J24" s="138">
        <v>5888</v>
      </c>
      <c r="K24" s="138">
        <v>1929</v>
      </c>
      <c r="L24" s="110">
        <v>16922</v>
      </c>
      <c r="M24" s="110">
        <v>20921</v>
      </c>
      <c r="N24" s="110"/>
      <c r="O24" s="138">
        <v>46351</v>
      </c>
      <c r="P24" s="136"/>
    </row>
    <row r="25" spans="1:16" x14ac:dyDescent="0.2">
      <c r="A25" s="107" t="s">
        <v>15</v>
      </c>
      <c r="B25" s="110" t="s">
        <v>28</v>
      </c>
      <c r="C25" s="110" t="s">
        <v>28</v>
      </c>
      <c r="D25" s="138" t="s">
        <v>28</v>
      </c>
      <c r="E25" s="138" t="s">
        <v>28</v>
      </c>
      <c r="F25" s="110" t="s">
        <v>28</v>
      </c>
      <c r="G25" s="110" t="s">
        <v>28</v>
      </c>
      <c r="H25" s="110">
        <v>0.129</v>
      </c>
      <c r="I25" s="110">
        <v>51</v>
      </c>
      <c r="J25" s="138" t="s">
        <v>28</v>
      </c>
      <c r="K25" s="138" t="s">
        <v>28</v>
      </c>
      <c r="L25" s="110">
        <v>46</v>
      </c>
      <c r="M25" s="110">
        <v>331</v>
      </c>
      <c r="N25" s="110"/>
      <c r="O25" s="138">
        <v>428</v>
      </c>
      <c r="P25" s="136"/>
    </row>
    <row r="26" spans="1:16" x14ac:dyDescent="0.2">
      <c r="A26" s="107" t="s">
        <v>16</v>
      </c>
      <c r="B26" s="110" t="s">
        <v>28</v>
      </c>
      <c r="C26" s="110" t="s">
        <v>28</v>
      </c>
      <c r="D26" s="138">
        <v>37</v>
      </c>
      <c r="E26" s="138">
        <v>77</v>
      </c>
      <c r="F26" s="110" t="s">
        <v>28</v>
      </c>
      <c r="G26" s="110" t="s">
        <v>28</v>
      </c>
      <c r="H26" s="110">
        <v>682.30799999999999</v>
      </c>
      <c r="I26" s="110">
        <v>1318</v>
      </c>
      <c r="J26" s="138">
        <v>936</v>
      </c>
      <c r="K26" s="138">
        <v>84</v>
      </c>
      <c r="L26" s="110">
        <v>222</v>
      </c>
      <c r="M26" s="110">
        <v>3554</v>
      </c>
      <c r="N26" s="110"/>
      <c r="O26" s="138">
        <v>5255</v>
      </c>
      <c r="P26" s="136"/>
    </row>
    <row r="27" spans="1:16" x14ac:dyDescent="0.2">
      <c r="A27" s="107" t="s">
        <v>17</v>
      </c>
      <c r="B27" s="110" t="s">
        <v>28</v>
      </c>
      <c r="C27" s="110" t="s">
        <v>28</v>
      </c>
      <c r="D27" s="138" t="s">
        <v>28</v>
      </c>
      <c r="E27" s="138" t="s">
        <v>28</v>
      </c>
      <c r="F27" s="110" t="s">
        <v>28</v>
      </c>
      <c r="G27" s="110" t="s">
        <v>28</v>
      </c>
      <c r="H27" s="110">
        <v>89.668999999999997</v>
      </c>
      <c r="I27" s="110">
        <v>1004</v>
      </c>
      <c r="J27" s="138">
        <v>353</v>
      </c>
      <c r="K27" s="138">
        <v>78</v>
      </c>
      <c r="L27" s="110">
        <v>297</v>
      </c>
      <c r="M27" s="110">
        <v>79</v>
      </c>
      <c r="N27" s="110"/>
      <c r="O27" s="138">
        <v>1458</v>
      </c>
      <c r="P27" s="136"/>
    </row>
    <row r="28" spans="1:16" x14ac:dyDescent="0.2">
      <c r="A28" s="107" t="s">
        <v>18</v>
      </c>
      <c r="B28" s="110" t="s">
        <v>28</v>
      </c>
      <c r="C28" s="110" t="s">
        <v>28</v>
      </c>
      <c r="D28" s="138">
        <v>269</v>
      </c>
      <c r="E28" s="138">
        <v>339</v>
      </c>
      <c r="F28" s="110" t="s">
        <v>28</v>
      </c>
      <c r="G28" s="110" t="s">
        <v>28</v>
      </c>
      <c r="H28" s="110" t="s">
        <v>28</v>
      </c>
      <c r="I28" s="110" t="s">
        <v>28</v>
      </c>
      <c r="J28" s="138">
        <v>135</v>
      </c>
      <c r="K28" s="138">
        <v>181</v>
      </c>
      <c r="L28" s="110">
        <v>18</v>
      </c>
      <c r="M28" s="110">
        <v>7</v>
      </c>
      <c r="N28" s="110"/>
      <c r="O28" s="138">
        <v>545</v>
      </c>
      <c r="P28" s="136"/>
    </row>
    <row r="29" spans="1:16" x14ac:dyDescent="0.2">
      <c r="A29" s="107" t="s">
        <v>19</v>
      </c>
      <c r="B29" s="110" t="s">
        <v>28</v>
      </c>
      <c r="C29" s="110" t="s">
        <v>28</v>
      </c>
      <c r="D29" s="138">
        <v>1709</v>
      </c>
      <c r="E29" s="138">
        <v>22</v>
      </c>
      <c r="F29" s="110" t="s">
        <v>28</v>
      </c>
      <c r="G29" s="110" t="s">
        <v>28</v>
      </c>
      <c r="H29" s="110" t="s">
        <v>28</v>
      </c>
      <c r="I29" s="110" t="s">
        <v>28</v>
      </c>
      <c r="J29" s="138" t="s">
        <v>28</v>
      </c>
      <c r="K29" s="138" t="s">
        <v>28</v>
      </c>
      <c r="L29" s="110">
        <v>228</v>
      </c>
      <c r="M29" s="110">
        <v>388</v>
      </c>
      <c r="N29" s="110"/>
      <c r="O29" s="138">
        <v>638</v>
      </c>
      <c r="P29" s="136"/>
    </row>
    <row r="30" spans="1:16" x14ac:dyDescent="0.2">
      <c r="A30" s="107" t="s">
        <v>20</v>
      </c>
      <c r="B30" s="110" t="s">
        <v>28</v>
      </c>
      <c r="C30" s="110" t="s">
        <v>28</v>
      </c>
      <c r="D30" s="138" t="s">
        <v>28</v>
      </c>
      <c r="E30" s="138" t="s">
        <v>28</v>
      </c>
      <c r="F30" s="110" t="s">
        <v>28</v>
      </c>
      <c r="G30" s="110" t="s">
        <v>28</v>
      </c>
      <c r="H30" s="110">
        <v>467.61599999999999</v>
      </c>
      <c r="I30" s="110">
        <v>827</v>
      </c>
      <c r="J30" s="138">
        <v>39</v>
      </c>
      <c r="K30" s="138">
        <v>199</v>
      </c>
      <c r="L30" s="110">
        <v>5</v>
      </c>
      <c r="M30" s="110">
        <v>1993</v>
      </c>
      <c r="N30" s="110"/>
      <c r="O30" s="138">
        <v>3024</v>
      </c>
      <c r="P30" s="136"/>
    </row>
    <row r="31" spans="1:16" x14ac:dyDescent="0.2">
      <c r="A31" s="107" t="s">
        <v>21</v>
      </c>
      <c r="B31" s="110" t="s">
        <v>28</v>
      </c>
      <c r="C31" s="110" t="s">
        <v>28</v>
      </c>
      <c r="D31" s="138">
        <v>55</v>
      </c>
      <c r="E31" s="138">
        <v>140</v>
      </c>
      <c r="F31" s="110" t="s">
        <v>28</v>
      </c>
      <c r="G31" s="110" t="s">
        <v>28</v>
      </c>
      <c r="H31" s="110">
        <v>6317.0320000000002</v>
      </c>
      <c r="I31" s="110">
        <v>30591</v>
      </c>
      <c r="J31" s="138">
        <v>1</v>
      </c>
      <c r="K31" s="138" t="s">
        <v>28</v>
      </c>
      <c r="L31" s="110">
        <v>681</v>
      </c>
      <c r="M31" s="110">
        <v>6924</v>
      </c>
      <c r="N31" s="110"/>
      <c r="O31" s="138">
        <v>38336</v>
      </c>
      <c r="P31" s="136"/>
    </row>
    <row r="32" spans="1:16" x14ac:dyDescent="0.2">
      <c r="A32" s="107" t="s">
        <v>22</v>
      </c>
      <c r="B32" s="110">
        <v>5</v>
      </c>
      <c r="C32" s="110">
        <v>1</v>
      </c>
      <c r="D32" s="138" t="s">
        <v>28</v>
      </c>
      <c r="E32" s="138" t="s">
        <v>28</v>
      </c>
      <c r="F32" s="110" t="s">
        <v>28</v>
      </c>
      <c r="G32" s="110" t="s">
        <v>28</v>
      </c>
      <c r="H32" s="110">
        <v>7537.31</v>
      </c>
      <c r="I32" s="110">
        <v>7891</v>
      </c>
      <c r="J32" s="138">
        <v>2159</v>
      </c>
      <c r="K32" s="138">
        <v>2503</v>
      </c>
      <c r="L32" s="110">
        <v>44</v>
      </c>
      <c r="M32" s="110">
        <v>543</v>
      </c>
      <c r="N32" s="110"/>
      <c r="O32" s="138">
        <v>10982</v>
      </c>
      <c r="P32" s="136"/>
    </row>
    <row r="33" spans="1:16" x14ac:dyDescent="0.2">
      <c r="A33" s="107" t="s">
        <v>23</v>
      </c>
      <c r="B33" s="110" t="s">
        <v>28</v>
      </c>
      <c r="C33" s="110" t="s">
        <v>28</v>
      </c>
      <c r="D33" s="138" t="s">
        <v>28</v>
      </c>
      <c r="E33" s="138" t="s">
        <v>28</v>
      </c>
      <c r="F33" s="110" t="s">
        <v>28</v>
      </c>
      <c r="G33" s="110" t="s">
        <v>28</v>
      </c>
      <c r="H33" s="110">
        <v>599.05100000000004</v>
      </c>
      <c r="I33" s="110">
        <v>2545</v>
      </c>
      <c r="J33" s="138">
        <v>463</v>
      </c>
      <c r="K33" s="138">
        <v>856</v>
      </c>
      <c r="L33" s="110">
        <v>189</v>
      </c>
      <c r="M33" s="110">
        <v>783</v>
      </c>
      <c r="N33" s="110"/>
      <c r="O33" s="138">
        <v>4373</v>
      </c>
      <c r="P33" s="136"/>
    </row>
    <row r="34" spans="1:16" x14ac:dyDescent="0.2">
      <c r="A34" s="107" t="s">
        <v>24</v>
      </c>
      <c r="B34" s="110" t="s">
        <v>28</v>
      </c>
      <c r="C34" s="110" t="s">
        <v>28</v>
      </c>
      <c r="D34" s="138" t="s">
        <v>28</v>
      </c>
      <c r="E34" s="138" t="s">
        <v>28</v>
      </c>
      <c r="F34" s="110" t="s">
        <v>28</v>
      </c>
      <c r="G34" s="110" t="s">
        <v>28</v>
      </c>
      <c r="H34" s="110">
        <v>6669.0290000000005</v>
      </c>
      <c r="I34" s="110">
        <v>9873</v>
      </c>
      <c r="J34" s="138">
        <v>1360</v>
      </c>
      <c r="K34" s="138">
        <v>182</v>
      </c>
      <c r="L34" s="110">
        <v>55</v>
      </c>
      <c r="M34" s="110">
        <v>2494</v>
      </c>
      <c r="N34" s="110"/>
      <c r="O34" s="138">
        <v>12604</v>
      </c>
      <c r="P34" s="136"/>
    </row>
    <row r="35" spans="1:16" x14ac:dyDescent="0.2">
      <c r="A35" s="107" t="s">
        <v>25</v>
      </c>
      <c r="B35" s="110" t="s">
        <v>28</v>
      </c>
      <c r="C35" s="110" t="s">
        <v>28</v>
      </c>
      <c r="D35" s="138" t="s">
        <v>28</v>
      </c>
      <c r="E35" s="138" t="s">
        <v>28</v>
      </c>
      <c r="F35" s="110" t="s">
        <v>28</v>
      </c>
      <c r="G35" s="110" t="s">
        <v>28</v>
      </c>
      <c r="H35" s="110">
        <v>20.904</v>
      </c>
      <c r="I35" s="110">
        <v>468</v>
      </c>
      <c r="J35" s="138" t="s">
        <v>28</v>
      </c>
      <c r="K35" s="138" t="s">
        <v>28</v>
      </c>
      <c r="L35" s="110">
        <v>62</v>
      </c>
      <c r="M35" s="110">
        <v>184</v>
      </c>
      <c r="N35" s="110"/>
      <c r="O35" s="138">
        <v>714</v>
      </c>
      <c r="P35" s="136"/>
    </row>
    <row r="36" spans="1:16" x14ac:dyDescent="0.2">
      <c r="A36" s="107" t="s">
        <v>26</v>
      </c>
      <c r="B36" s="110" t="s">
        <v>28</v>
      </c>
      <c r="C36" s="110" t="s">
        <v>28</v>
      </c>
      <c r="D36" s="138" t="s">
        <v>28</v>
      </c>
      <c r="E36" s="138">
        <v>5</v>
      </c>
      <c r="F36" s="110" t="s">
        <v>28</v>
      </c>
      <c r="G36" s="110" t="s">
        <v>28</v>
      </c>
      <c r="H36" s="110">
        <v>4947.8789999999999</v>
      </c>
      <c r="I36" s="110">
        <v>7650</v>
      </c>
      <c r="J36" s="138">
        <v>3439</v>
      </c>
      <c r="K36" s="138">
        <v>577</v>
      </c>
      <c r="L36" s="110">
        <v>7647</v>
      </c>
      <c r="M36" s="110">
        <v>4917</v>
      </c>
      <c r="N36" s="110"/>
      <c r="O36" s="138">
        <v>20796</v>
      </c>
      <c r="P36" s="136"/>
    </row>
    <row r="37" spans="1:16" x14ac:dyDescent="0.2">
      <c r="A37" s="107" t="s">
        <v>95</v>
      </c>
      <c r="B37" s="110">
        <v>772</v>
      </c>
      <c r="C37" s="110">
        <v>622</v>
      </c>
      <c r="D37" s="138">
        <v>4209</v>
      </c>
      <c r="E37" s="138">
        <v>4956</v>
      </c>
      <c r="F37" s="110">
        <v>2132</v>
      </c>
      <c r="G37" s="110">
        <v>2314</v>
      </c>
      <c r="H37" s="110">
        <v>23141.522000000001</v>
      </c>
      <c r="I37" s="110">
        <v>40719</v>
      </c>
      <c r="J37" s="138">
        <v>4689</v>
      </c>
      <c r="K37" s="138">
        <v>2989</v>
      </c>
      <c r="L37" s="110">
        <v>2984</v>
      </c>
      <c r="M37" s="110">
        <v>33358</v>
      </c>
      <c r="N37" s="110"/>
      <c r="O37" s="138">
        <v>87942</v>
      </c>
      <c r="P37" s="136"/>
    </row>
    <row r="38" spans="1:16" x14ac:dyDescent="0.2">
      <c r="A38" s="107" t="s">
        <v>107</v>
      </c>
      <c r="B38" s="110" t="s">
        <v>28</v>
      </c>
      <c r="C38" s="110" t="s">
        <v>28</v>
      </c>
      <c r="D38" s="138">
        <v>19</v>
      </c>
      <c r="E38" s="138">
        <v>34</v>
      </c>
      <c r="F38" s="110" t="s">
        <v>28</v>
      </c>
      <c r="G38" s="110" t="s">
        <v>28</v>
      </c>
      <c r="H38" s="110">
        <v>2882.9029999999998</v>
      </c>
      <c r="I38" s="110">
        <v>4833</v>
      </c>
      <c r="J38" s="138">
        <v>78</v>
      </c>
      <c r="K38" s="138">
        <v>1</v>
      </c>
      <c r="L38" s="110">
        <v>29644</v>
      </c>
      <c r="M38" s="110">
        <v>4563</v>
      </c>
      <c r="N38" s="110"/>
      <c r="O38" s="138">
        <v>39075</v>
      </c>
      <c r="P38" s="136"/>
    </row>
    <row r="39" spans="1:16" x14ac:dyDescent="0.2">
      <c r="A39" s="107" t="s">
        <v>75</v>
      </c>
      <c r="B39" s="110">
        <v>2451</v>
      </c>
      <c r="C39" s="110">
        <v>2588</v>
      </c>
      <c r="D39" s="138">
        <v>11179</v>
      </c>
      <c r="E39" s="138">
        <v>12575</v>
      </c>
      <c r="F39" s="110">
        <v>999</v>
      </c>
      <c r="G39" s="110">
        <v>827</v>
      </c>
      <c r="H39" s="110">
        <v>9014.1569999999992</v>
      </c>
      <c r="I39" s="110">
        <v>9934</v>
      </c>
      <c r="J39" s="138">
        <v>22096</v>
      </c>
      <c r="K39" s="138">
        <v>16024</v>
      </c>
      <c r="L39" s="110">
        <v>2769</v>
      </c>
      <c r="M39" s="110">
        <v>25854</v>
      </c>
      <c r="N39" s="110"/>
      <c r="O39" s="138">
        <v>70571</v>
      </c>
      <c r="P39" s="136"/>
    </row>
    <row r="40" spans="1:16" x14ac:dyDescent="0.2">
      <c r="A40" s="113" t="s">
        <v>27</v>
      </c>
      <c r="B40" s="114">
        <v>5786</v>
      </c>
      <c r="C40" s="114">
        <v>5699</v>
      </c>
      <c r="D40" s="143">
        <v>47412</v>
      </c>
      <c r="E40" s="143">
        <v>57492</v>
      </c>
      <c r="F40" s="114">
        <v>17139</v>
      </c>
      <c r="G40" s="114">
        <v>13830</v>
      </c>
      <c r="H40" s="114">
        <v>424854.66600000003</v>
      </c>
      <c r="I40" s="114">
        <v>628118</v>
      </c>
      <c r="J40" s="143">
        <v>166520</v>
      </c>
      <c r="K40" s="143">
        <v>45886</v>
      </c>
      <c r="L40" s="114">
        <v>238781</v>
      </c>
      <c r="M40" s="114">
        <v>465200</v>
      </c>
      <c r="N40" s="147" t="s">
        <v>227</v>
      </c>
      <c r="O40" s="143">
        <v>1455006</v>
      </c>
      <c r="P40" s="147" t="s">
        <v>227</v>
      </c>
    </row>
    <row r="41" spans="1:16" x14ac:dyDescent="0.2">
      <c r="E41" s="97"/>
    </row>
    <row r="42" spans="1:16" x14ac:dyDescent="0.2">
      <c r="A42" s="116" t="s">
        <v>48</v>
      </c>
      <c r="G42" s="97"/>
    </row>
    <row r="43" spans="1:16" x14ac:dyDescent="0.2">
      <c r="A43" s="117" t="s">
        <v>224</v>
      </c>
    </row>
    <row r="44" spans="1:16" x14ac:dyDescent="0.2">
      <c r="A44" s="117"/>
    </row>
    <row r="45" spans="1:16" x14ac:dyDescent="0.2">
      <c r="A45" s="108" t="s">
        <v>37</v>
      </c>
    </row>
    <row r="46" spans="1:16" x14ac:dyDescent="0.2">
      <c r="A46" s="118" t="s">
        <v>104</v>
      </c>
    </row>
    <row r="47" spans="1:16" x14ac:dyDescent="0.2">
      <c r="A47" s="118" t="s">
        <v>55</v>
      </c>
    </row>
    <row r="48" spans="1:16" x14ac:dyDescent="0.2">
      <c r="A48" s="118" t="s">
        <v>56</v>
      </c>
    </row>
    <row r="49" spans="1:1" x14ac:dyDescent="0.2">
      <c r="A49" s="118" t="s">
        <v>67</v>
      </c>
    </row>
    <row r="50" spans="1:1" x14ac:dyDescent="0.2">
      <c r="A50" s="118" t="s">
        <v>68</v>
      </c>
    </row>
    <row r="51" spans="1:1" x14ac:dyDescent="0.2">
      <c r="A51" s="118" t="s">
        <v>72</v>
      </c>
    </row>
    <row r="52" spans="1:1" x14ac:dyDescent="0.2">
      <c r="A52" s="118" t="s">
        <v>73</v>
      </c>
    </row>
    <row r="53" spans="1:1" x14ac:dyDescent="0.2">
      <c r="A53" s="118" t="s">
        <v>74</v>
      </c>
    </row>
    <row r="54" spans="1:1" x14ac:dyDescent="0.2">
      <c r="A54" s="119"/>
    </row>
    <row r="55" spans="1:1" x14ac:dyDescent="0.2">
      <c r="A55" s="108" t="s">
        <v>50</v>
      </c>
    </row>
    <row r="56" spans="1:1" x14ac:dyDescent="0.2">
      <c r="A56" s="120" t="s">
        <v>105</v>
      </c>
    </row>
  </sheetData>
  <mergeCells count="6">
    <mergeCell ref="J3:K3"/>
    <mergeCell ref="A3:A5"/>
    <mergeCell ref="B3:C3"/>
    <mergeCell ref="D3:E3"/>
    <mergeCell ref="F3:G3"/>
    <mergeCell ref="H3:I3"/>
  </mergeCells>
  <pageMargins left="0.75" right="0.75" top="1" bottom="1" header="0.5" footer="0.5"/>
  <pageSetup paperSize="9" scale="7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56"/>
  <sheetViews>
    <sheetView workbookViewId="0"/>
  </sheetViews>
  <sheetFormatPr defaultRowHeight="12.75" x14ac:dyDescent="0.2"/>
  <cols>
    <col min="1" max="1" width="30.7109375" customWidth="1"/>
    <col min="2" max="11" width="9.7109375" customWidth="1"/>
    <col min="12" max="12" width="13.7109375" customWidth="1"/>
    <col min="13" max="13" width="1.5703125" customWidth="1"/>
    <col min="14" max="14" width="13.7109375" customWidth="1"/>
    <col min="15" max="15" width="1.5703125" customWidth="1"/>
    <col min="16" max="16" width="13.7109375" customWidth="1"/>
    <col min="17" max="17" width="1.7109375" customWidth="1"/>
  </cols>
  <sheetData>
    <row r="1" spans="1:18" ht="16.5" x14ac:dyDescent="0.2">
      <c r="A1" s="76" t="s">
        <v>223</v>
      </c>
    </row>
    <row r="3" spans="1:18" s="105" customFormat="1" ht="21" x14ac:dyDescent="0.2">
      <c r="A3" s="163" t="s">
        <v>38</v>
      </c>
      <c r="B3" s="165" t="s">
        <v>36</v>
      </c>
      <c r="C3" s="165"/>
      <c r="D3" s="168" t="s">
        <v>90</v>
      </c>
      <c r="E3" s="169"/>
      <c r="F3" s="165" t="s">
        <v>35</v>
      </c>
      <c r="G3" s="165"/>
      <c r="H3" s="165" t="s">
        <v>91</v>
      </c>
      <c r="I3" s="165"/>
      <c r="J3" s="165" t="s">
        <v>70</v>
      </c>
      <c r="K3" s="165"/>
      <c r="L3" s="106" t="s">
        <v>92</v>
      </c>
      <c r="M3" s="106"/>
      <c r="N3" s="106" t="s">
        <v>71</v>
      </c>
      <c r="O3" s="106"/>
      <c r="P3" s="106" t="s">
        <v>34</v>
      </c>
      <c r="Q3" s="107"/>
    </row>
    <row r="4" spans="1:18" s="105" customFormat="1" x14ac:dyDescent="0.2">
      <c r="A4" s="163"/>
      <c r="B4" s="108" t="s">
        <v>59</v>
      </c>
      <c r="C4" s="108" t="s">
        <v>57</v>
      </c>
      <c r="D4" s="108" t="s">
        <v>69</v>
      </c>
      <c r="E4" s="108" t="s">
        <v>57</v>
      </c>
      <c r="F4" s="108" t="s">
        <v>58</v>
      </c>
      <c r="G4" s="108" t="s">
        <v>57</v>
      </c>
      <c r="H4" s="108" t="s">
        <v>58</v>
      </c>
      <c r="I4" s="108" t="s">
        <v>57</v>
      </c>
      <c r="J4" s="108" t="s">
        <v>58</v>
      </c>
      <c r="K4" s="108" t="s">
        <v>57</v>
      </c>
      <c r="L4" s="108" t="s">
        <v>57</v>
      </c>
      <c r="M4" s="108"/>
      <c r="N4" s="108" t="s">
        <v>57</v>
      </c>
      <c r="O4" s="108"/>
      <c r="P4" s="108" t="s">
        <v>57</v>
      </c>
      <c r="Q4" s="107"/>
    </row>
    <row r="5" spans="1:18" s="105" customFormat="1" x14ac:dyDescent="0.2">
      <c r="A5" s="164"/>
      <c r="B5" s="109" t="s">
        <v>60</v>
      </c>
      <c r="C5" s="109" t="s">
        <v>61</v>
      </c>
      <c r="D5" s="109" t="s">
        <v>62</v>
      </c>
      <c r="E5" s="109" t="s">
        <v>61</v>
      </c>
      <c r="F5" s="109" t="s">
        <v>63</v>
      </c>
      <c r="G5" s="109" t="s">
        <v>61</v>
      </c>
      <c r="H5" s="109" t="s">
        <v>63</v>
      </c>
      <c r="I5" s="109" t="s">
        <v>61</v>
      </c>
      <c r="J5" s="109" t="s">
        <v>64</v>
      </c>
      <c r="K5" s="109" t="s">
        <v>61</v>
      </c>
      <c r="L5" s="109" t="s">
        <v>61</v>
      </c>
      <c r="M5" s="109"/>
      <c r="N5" s="109" t="s">
        <v>61</v>
      </c>
      <c r="O5" s="109"/>
      <c r="P5" s="109" t="s">
        <v>61</v>
      </c>
      <c r="Q5" s="107"/>
    </row>
    <row r="6" spans="1:18" x14ac:dyDescent="0.2">
      <c r="A6" s="107" t="s">
        <v>0</v>
      </c>
      <c r="B6" s="110">
        <v>2055</v>
      </c>
      <c r="C6" s="110">
        <v>1317</v>
      </c>
      <c r="D6" s="110">
        <v>4510</v>
      </c>
      <c r="E6" s="110">
        <v>5702</v>
      </c>
      <c r="F6" s="110" t="s">
        <v>28</v>
      </c>
      <c r="G6" s="110" t="s">
        <v>28</v>
      </c>
      <c r="H6" s="110">
        <v>185918.049</v>
      </c>
      <c r="I6" s="110">
        <v>238969</v>
      </c>
      <c r="J6" s="110">
        <v>12666</v>
      </c>
      <c r="K6" s="110">
        <v>3959</v>
      </c>
      <c r="L6" s="110">
        <v>5106</v>
      </c>
      <c r="M6" s="144"/>
      <c r="N6" s="110">
        <v>158774</v>
      </c>
      <c r="O6" s="144"/>
      <c r="P6" s="110">
        <f>SUM(C6,E6,G6,I6,K6,L6,N6)</f>
        <v>413827</v>
      </c>
      <c r="Q6" s="146"/>
      <c r="R6" s="136"/>
    </row>
    <row r="7" spans="1:18" x14ac:dyDescent="0.2">
      <c r="A7" s="107" t="s">
        <v>1</v>
      </c>
      <c r="B7" s="110" t="s">
        <v>28</v>
      </c>
      <c r="C7" s="110" t="s">
        <v>28</v>
      </c>
      <c r="D7" s="110">
        <v>199</v>
      </c>
      <c r="E7" s="110">
        <v>9</v>
      </c>
      <c r="F7" s="110" t="s">
        <v>28</v>
      </c>
      <c r="G7" s="110" t="s">
        <v>28</v>
      </c>
      <c r="H7" s="110">
        <v>846.71</v>
      </c>
      <c r="I7" s="110">
        <v>2041</v>
      </c>
      <c r="J7" s="110">
        <v>302</v>
      </c>
      <c r="K7" s="110">
        <v>430</v>
      </c>
      <c r="L7" s="110">
        <v>59</v>
      </c>
      <c r="M7" s="144"/>
      <c r="N7" s="110">
        <v>268</v>
      </c>
      <c r="O7" s="144"/>
      <c r="P7" s="110">
        <f t="shared" ref="P7:P40" si="0">SUM(C7,E7,G7,I7,K7,L7,N7)</f>
        <v>2807</v>
      </c>
      <c r="Q7" s="146"/>
      <c r="R7" s="136"/>
    </row>
    <row r="8" spans="1:18" x14ac:dyDescent="0.2">
      <c r="A8" s="107" t="s">
        <v>2</v>
      </c>
      <c r="B8" s="110" t="s">
        <v>28</v>
      </c>
      <c r="C8" s="110" t="s">
        <v>28</v>
      </c>
      <c r="D8" s="110" t="s">
        <v>28</v>
      </c>
      <c r="E8" s="110" t="s">
        <v>28</v>
      </c>
      <c r="F8" s="110" t="s">
        <v>28</v>
      </c>
      <c r="G8" s="110" t="s">
        <v>28</v>
      </c>
      <c r="H8" s="110">
        <v>757.42100000000005</v>
      </c>
      <c r="I8" s="110">
        <v>2783</v>
      </c>
      <c r="J8" s="110">
        <v>4999</v>
      </c>
      <c r="K8" s="110">
        <v>1048</v>
      </c>
      <c r="L8" s="110">
        <v>163</v>
      </c>
      <c r="M8" s="144"/>
      <c r="N8" s="110">
        <v>7884</v>
      </c>
      <c r="O8" s="144"/>
      <c r="P8" s="110">
        <f t="shared" si="0"/>
        <v>11878</v>
      </c>
      <c r="Q8" s="146"/>
      <c r="R8" s="136"/>
    </row>
    <row r="9" spans="1:18" x14ac:dyDescent="0.2">
      <c r="A9" s="107" t="s">
        <v>3</v>
      </c>
      <c r="B9" s="110" t="s">
        <v>28</v>
      </c>
      <c r="C9" s="110" t="s">
        <v>28</v>
      </c>
      <c r="D9" s="110">
        <v>92</v>
      </c>
      <c r="E9" s="110">
        <v>72</v>
      </c>
      <c r="F9" s="110">
        <v>517</v>
      </c>
      <c r="G9" s="110">
        <v>570</v>
      </c>
      <c r="H9" s="110">
        <v>928.02300000000002</v>
      </c>
      <c r="I9" s="110">
        <v>1334</v>
      </c>
      <c r="J9" s="110">
        <v>618</v>
      </c>
      <c r="K9" s="110">
        <v>433</v>
      </c>
      <c r="L9" s="110">
        <v>11</v>
      </c>
      <c r="M9" s="144"/>
      <c r="N9" s="110">
        <v>548</v>
      </c>
      <c r="O9" s="144"/>
      <c r="P9" s="110">
        <f t="shared" si="0"/>
        <v>2968</v>
      </c>
      <c r="Q9" s="146"/>
      <c r="R9" s="136"/>
    </row>
    <row r="10" spans="1:18" x14ac:dyDescent="0.2">
      <c r="A10" s="107" t="s">
        <v>86</v>
      </c>
      <c r="B10" s="110" t="s">
        <v>28</v>
      </c>
      <c r="C10" s="110" t="s">
        <v>28</v>
      </c>
      <c r="D10" s="110" t="s">
        <v>28</v>
      </c>
      <c r="E10" s="110" t="s">
        <v>28</v>
      </c>
      <c r="F10" s="110" t="s">
        <v>28</v>
      </c>
      <c r="G10" s="110" t="s">
        <v>28</v>
      </c>
      <c r="H10" s="110">
        <v>6081.7179999999998</v>
      </c>
      <c r="I10" s="110">
        <v>10712</v>
      </c>
      <c r="J10" s="110">
        <v>1616</v>
      </c>
      <c r="K10" s="110">
        <v>41</v>
      </c>
      <c r="L10" s="110">
        <v>930</v>
      </c>
      <c r="M10" s="144"/>
      <c r="N10" s="110">
        <v>6691</v>
      </c>
      <c r="O10" s="144"/>
      <c r="P10" s="110">
        <f t="shared" si="0"/>
        <v>18374</v>
      </c>
      <c r="Q10" s="146"/>
      <c r="R10" s="136"/>
    </row>
    <row r="11" spans="1:18" x14ac:dyDescent="0.2">
      <c r="A11" s="107" t="s">
        <v>4</v>
      </c>
      <c r="B11" s="110">
        <v>59</v>
      </c>
      <c r="C11" s="110">
        <v>86</v>
      </c>
      <c r="D11" s="110">
        <v>13324</v>
      </c>
      <c r="E11" s="110">
        <v>16093</v>
      </c>
      <c r="F11" s="110">
        <v>13533</v>
      </c>
      <c r="G11" s="110">
        <v>9998</v>
      </c>
      <c r="H11" s="110">
        <v>3776.4929999999999</v>
      </c>
      <c r="I11" s="110">
        <v>6512</v>
      </c>
      <c r="J11" s="110">
        <v>170</v>
      </c>
      <c r="K11" s="110">
        <v>172</v>
      </c>
      <c r="L11" s="110">
        <v>8</v>
      </c>
      <c r="M11" s="144"/>
      <c r="N11" s="110">
        <v>3314</v>
      </c>
      <c r="O11" s="144"/>
      <c r="P11" s="110">
        <f t="shared" si="0"/>
        <v>36183</v>
      </c>
      <c r="Q11" s="146"/>
      <c r="R11" s="136"/>
    </row>
    <row r="12" spans="1:18" x14ac:dyDescent="0.2">
      <c r="A12" s="107" t="s">
        <v>110</v>
      </c>
      <c r="B12" s="110">
        <v>3</v>
      </c>
      <c r="C12" s="110">
        <v>2</v>
      </c>
      <c r="D12" s="110">
        <v>3249</v>
      </c>
      <c r="E12" s="110">
        <v>400</v>
      </c>
      <c r="F12" s="110" t="s">
        <v>28</v>
      </c>
      <c r="G12" s="110" t="s">
        <v>28</v>
      </c>
      <c r="H12" s="110">
        <v>51934.512999999999</v>
      </c>
      <c r="I12" s="110">
        <v>81369</v>
      </c>
      <c r="J12" s="110">
        <v>27666</v>
      </c>
      <c r="K12" s="110">
        <v>9295</v>
      </c>
      <c r="L12" s="110">
        <v>134005</v>
      </c>
      <c r="M12" s="144"/>
      <c r="N12" s="110">
        <v>77911</v>
      </c>
      <c r="O12" s="144"/>
      <c r="P12" s="110">
        <f t="shared" si="0"/>
        <v>302982</v>
      </c>
      <c r="Q12" s="146"/>
      <c r="R12" s="136"/>
    </row>
    <row r="13" spans="1:18" x14ac:dyDescent="0.2">
      <c r="A13" s="107" t="s">
        <v>5</v>
      </c>
      <c r="B13" s="110" t="s">
        <v>28</v>
      </c>
      <c r="C13" s="110" t="s">
        <v>28</v>
      </c>
      <c r="D13" s="110" t="s">
        <v>28</v>
      </c>
      <c r="E13" s="110" t="s">
        <v>28</v>
      </c>
      <c r="F13" s="110" t="s">
        <v>28</v>
      </c>
      <c r="G13" s="110" t="s">
        <v>28</v>
      </c>
      <c r="H13" s="110">
        <v>0.75700000000000001</v>
      </c>
      <c r="I13" s="110">
        <v>26</v>
      </c>
      <c r="J13" s="110" t="s">
        <v>28</v>
      </c>
      <c r="K13" s="110" t="s">
        <v>28</v>
      </c>
      <c r="L13" s="110">
        <v>667</v>
      </c>
      <c r="M13" s="144"/>
      <c r="N13" s="110">
        <v>3276</v>
      </c>
      <c r="O13" s="144"/>
      <c r="P13" s="110">
        <f t="shared" si="0"/>
        <v>3969</v>
      </c>
      <c r="Q13" s="146"/>
      <c r="R13" s="136"/>
    </row>
    <row r="14" spans="1:18" x14ac:dyDescent="0.2">
      <c r="A14" s="107" t="s">
        <v>6</v>
      </c>
      <c r="B14" s="110">
        <v>19</v>
      </c>
      <c r="C14" s="110">
        <v>44</v>
      </c>
      <c r="D14" s="110">
        <v>1830</v>
      </c>
      <c r="E14" s="110">
        <v>1702</v>
      </c>
      <c r="F14" s="110" t="s">
        <v>28</v>
      </c>
      <c r="G14" s="110" t="s">
        <v>28</v>
      </c>
      <c r="H14" s="110" t="s">
        <v>28</v>
      </c>
      <c r="I14" s="110" t="s">
        <v>28</v>
      </c>
      <c r="J14" s="110">
        <v>149</v>
      </c>
      <c r="K14" s="110">
        <v>240</v>
      </c>
      <c r="L14" s="110">
        <v>274</v>
      </c>
      <c r="M14" s="144"/>
      <c r="N14" s="110">
        <v>1099</v>
      </c>
      <c r="O14" s="144"/>
      <c r="P14" s="110">
        <f t="shared" si="0"/>
        <v>3359</v>
      </c>
      <c r="Q14" s="146"/>
      <c r="R14" s="136"/>
    </row>
    <row r="15" spans="1:18" x14ac:dyDescent="0.2">
      <c r="A15" s="107" t="s">
        <v>7</v>
      </c>
      <c r="B15" s="110" t="s">
        <v>28</v>
      </c>
      <c r="C15" s="110" t="s">
        <v>28</v>
      </c>
      <c r="D15" s="110">
        <v>44</v>
      </c>
      <c r="E15" s="110">
        <v>22</v>
      </c>
      <c r="F15" s="110" t="s">
        <v>28</v>
      </c>
      <c r="G15" s="110" t="s">
        <v>28</v>
      </c>
      <c r="H15" s="110">
        <v>37911.455000000002</v>
      </c>
      <c r="I15" s="110">
        <v>50423</v>
      </c>
      <c r="J15" s="110">
        <v>795</v>
      </c>
      <c r="K15" s="110">
        <v>1018</v>
      </c>
      <c r="L15" s="110">
        <v>7</v>
      </c>
      <c r="M15" s="144"/>
      <c r="N15" s="110">
        <v>1021</v>
      </c>
      <c r="O15" s="144"/>
      <c r="P15" s="110">
        <f t="shared" si="0"/>
        <v>52491</v>
      </c>
      <c r="Q15" s="146"/>
      <c r="R15" s="136"/>
    </row>
    <row r="16" spans="1:18" x14ac:dyDescent="0.2">
      <c r="A16" s="107" t="s">
        <v>8</v>
      </c>
      <c r="B16" s="110">
        <v>100</v>
      </c>
      <c r="C16" s="110">
        <v>164</v>
      </c>
      <c r="D16" s="110">
        <v>246</v>
      </c>
      <c r="E16" s="110">
        <v>388</v>
      </c>
      <c r="F16" s="110" t="s">
        <v>28</v>
      </c>
      <c r="G16" s="110" t="s">
        <v>28</v>
      </c>
      <c r="H16" s="110">
        <v>4457.357</v>
      </c>
      <c r="I16" s="110">
        <v>8692</v>
      </c>
      <c r="J16" s="110">
        <v>38</v>
      </c>
      <c r="K16" s="110">
        <v>81</v>
      </c>
      <c r="L16" s="110">
        <v>638</v>
      </c>
      <c r="M16" s="144"/>
      <c r="N16" s="110">
        <v>30249</v>
      </c>
      <c r="O16" s="144"/>
      <c r="P16" s="110">
        <f t="shared" si="0"/>
        <v>40212</v>
      </c>
      <c r="Q16" s="146"/>
      <c r="R16" s="136"/>
    </row>
    <row r="17" spans="1:18" x14ac:dyDescent="0.2">
      <c r="A17" s="107" t="s">
        <v>9</v>
      </c>
      <c r="B17" s="110">
        <v>10</v>
      </c>
      <c r="C17" s="110">
        <v>15</v>
      </c>
      <c r="D17" s="110">
        <v>42</v>
      </c>
      <c r="E17" s="110">
        <v>5</v>
      </c>
      <c r="F17" s="110">
        <v>417</v>
      </c>
      <c r="G17" s="110">
        <v>482</v>
      </c>
      <c r="H17" s="110">
        <v>13352.99</v>
      </c>
      <c r="I17" s="110">
        <v>28251</v>
      </c>
      <c r="J17" s="110">
        <v>7812</v>
      </c>
      <c r="K17" s="110">
        <v>1791</v>
      </c>
      <c r="L17" s="110">
        <v>1990</v>
      </c>
      <c r="M17" s="144"/>
      <c r="N17" s="110">
        <v>17352</v>
      </c>
      <c r="O17" s="144"/>
      <c r="P17" s="110">
        <f t="shared" si="0"/>
        <v>49886</v>
      </c>
      <c r="Q17" s="146"/>
      <c r="R17" s="136"/>
    </row>
    <row r="18" spans="1:18" x14ac:dyDescent="0.2">
      <c r="A18" s="107" t="s">
        <v>109</v>
      </c>
      <c r="B18" s="110" t="s">
        <v>28</v>
      </c>
      <c r="C18" s="110" t="s">
        <v>28</v>
      </c>
      <c r="D18" s="110">
        <v>1</v>
      </c>
      <c r="E18" s="110">
        <v>2</v>
      </c>
      <c r="F18" s="110" t="s">
        <v>28</v>
      </c>
      <c r="G18" s="110" t="s">
        <v>28</v>
      </c>
      <c r="H18" s="110">
        <v>59.137</v>
      </c>
      <c r="I18" s="110">
        <v>157</v>
      </c>
      <c r="J18" s="110" t="s">
        <v>28</v>
      </c>
      <c r="K18" s="110" t="s">
        <v>28</v>
      </c>
      <c r="L18" s="110">
        <v>316</v>
      </c>
      <c r="M18" s="144"/>
      <c r="N18" s="110">
        <v>2291</v>
      </c>
      <c r="O18" s="144"/>
      <c r="P18" s="110">
        <f t="shared" si="0"/>
        <v>2766</v>
      </c>
      <c r="Q18" s="146"/>
      <c r="R18" s="136"/>
    </row>
    <row r="19" spans="1:18" x14ac:dyDescent="0.2">
      <c r="A19" s="107" t="s">
        <v>10</v>
      </c>
      <c r="B19" s="110" t="s">
        <v>28</v>
      </c>
      <c r="C19" s="110" t="s">
        <v>28</v>
      </c>
      <c r="D19" s="110" t="s">
        <v>28</v>
      </c>
      <c r="E19" s="110" t="s">
        <v>28</v>
      </c>
      <c r="F19" s="110" t="s">
        <v>28</v>
      </c>
      <c r="G19" s="110" t="s">
        <v>28</v>
      </c>
      <c r="H19" s="110">
        <v>294.53899999999999</v>
      </c>
      <c r="I19" s="110">
        <v>965</v>
      </c>
      <c r="J19" s="110">
        <v>26</v>
      </c>
      <c r="K19" s="110">
        <v>27</v>
      </c>
      <c r="L19" s="110">
        <v>1513</v>
      </c>
      <c r="M19" s="144"/>
      <c r="N19" s="110">
        <v>1074</v>
      </c>
      <c r="O19" s="144"/>
      <c r="P19" s="110">
        <f t="shared" si="0"/>
        <v>3579</v>
      </c>
      <c r="Q19" s="146"/>
      <c r="R19" s="136"/>
    </row>
    <row r="20" spans="1:18" x14ac:dyDescent="0.2">
      <c r="A20" s="107" t="s">
        <v>11</v>
      </c>
      <c r="B20" s="110" t="s">
        <v>28</v>
      </c>
      <c r="C20" s="110" t="s">
        <v>28</v>
      </c>
      <c r="D20" s="110">
        <v>5229</v>
      </c>
      <c r="E20" s="110">
        <v>10544</v>
      </c>
      <c r="F20" s="110" t="s">
        <v>28</v>
      </c>
      <c r="G20" s="110" t="s">
        <v>28</v>
      </c>
      <c r="H20" s="110">
        <v>27906.114999999998</v>
      </c>
      <c r="I20" s="110">
        <v>39639</v>
      </c>
      <c r="J20" s="110">
        <v>5813</v>
      </c>
      <c r="K20" s="110">
        <v>589</v>
      </c>
      <c r="L20" s="110">
        <v>10502</v>
      </c>
      <c r="M20" s="144"/>
      <c r="N20" s="110">
        <v>20657</v>
      </c>
      <c r="O20" s="144"/>
      <c r="P20" s="110">
        <f t="shared" si="0"/>
        <v>81931</v>
      </c>
      <c r="Q20" s="146"/>
      <c r="R20" s="136"/>
    </row>
    <row r="21" spans="1:18" x14ac:dyDescent="0.2">
      <c r="A21" s="107" t="s">
        <v>12</v>
      </c>
      <c r="B21" s="110">
        <v>18</v>
      </c>
      <c r="C21" s="110">
        <v>25</v>
      </c>
      <c r="D21" s="110">
        <v>266</v>
      </c>
      <c r="E21" s="110">
        <v>572</v>
      </c>
      <c r="F21" s="110" t="s">
        <v>28</v>
      </c>
      <c r="G21" s="110" t="s">
        <v>28</v>
      </c>
      <c r="H21" s="110">
        <v>4972.1940000000004</v>
      </c>
      <c r="I21" s="110">
        <v>8739</v>
      </c>
      <c r="J21" s="110">
        <v>3491</v>
      </c>
      <c r="K21" s="110">
        <v>1444</v>
      </c>
      <c r="L21" s="110">
        <v>4387</v>
      </c>
      <c r="M21" s="144"/>
      <c r="N21" s="110">
        <v>4729</v>
      </c>
      <c r="O21" s="144"/>
      <c r="P21" s="110">
        <f t="shared" si="0"/>
        <v>19896</v>
      </c>
      <c r="Q21" s="146"/>
      <c r="R21" s="136"/>
    </row>
    <row r="22" spans="1:18" x14ac:dyDescent="0.2">
      <c r="A22" s="107" t="s">
        <v>13</v>
      </c>
      <c r="B22" s="110" t="s">
        <v>28</v>
      </c>
      <c r="C22" s="110" t="s">
        <v>28</v>
      </c>
      <c r="D22" s="110" t="s">
        <v>28</v>
      </c>
      <c r="E22" s="110" t="s">
        <v>28</v>
      </c>
      <c r="F22" s="110" t="s">
        <v>28</v>
      </c>
      <c r="G22" s="110" t="s">
        <v>28</v>
      </c>
      <c r="H22" s="110">
        <v>16202.013000000001</v>
      </c>
      <c r="I22" s="110">
        <v>26141</v>
      </c>
      <c r="J22" s="110" t="s">
        <v>28</v>
      </c>
      <c r="K22" s="110" t="s">
        <v>28</v>
      </c>
      <c r="L22" s="110">
        <v>63</v>
      </c>
      <c r="M22" s="144"/>
      <c r="N22" s="110">
        <v>1557</v>
      </c>
      <c r="O22" s="144"/>
      <c r="P22" s="110">
        <f t="shared" si="0"/>
        <v>27761</v>
      </c>
      <c r="Q22" s="146"/>
      <c r="R22" s="136"/>
    </row>
    <row r="23" spans="1:18" x14ac:dyDescent="0.2">
      <c r="A23" s="107" t="s">
        <v>108</v>
      </c>
      <c r="B23" s="110" t="s">
        <v>28</v>
      </c>
      <c r="C23" s="110" t="s">
        <v>28</v>
      </c>
      <c r="D23" s="110">
        <v>68</v>
      </c>
      <c r="E23" s="110">
        <v>24</v>
      </c>
      <c r="F23" s="110" t="s">
        <v>28</v>
      </c>
      <c r="G23" s="110" t="s">
        <v>28</v>
      </c>
      <c r="H23" s="110">
        <v>24260.82</v>
      </c>
      <c r="I23" s="110">
        <v>31765</v>
      </c>
      <c r="J23" s="110">
        <v>194</v>
      </c>
      <c r="K23" s="110">
        <v>23</v>
      </c>
      <c r="L23" s="110">
        <v>158</v>
      </c>
      <c r="M23" s="144"/>
      <c r="N23" s="110">
        <v>6001</v>
      </c>
      <c r="O23" s="144"/>
      <c r="P23" s="110">
        <f t="shared" si="0"/>
        <v>37971</v>
      </c>
      <c r="Q23" s="146"/>
      <c r="R23" s="136"/>
    </row>
    <row r="24" spans="1:18" x14ac:dyDescent="0.2">
      <c r="A24" s="107" t="s">
        <v>14</v>
      </c>
      <c r="B24" s="110" t="s">
        <v>28</v>
      </c>
      <c r="C24" s="110" t="s">
        <v>28</v>
      </c>
      <c r="D24" s="110">
        <v>484</v>
      </c>
      <c r="E24" s="110">
        <v>829</v>
      </c>
      <c r="F24" s="110" t="s">
        <v>28</v>
      </c>
      <c r="G24" s="110" t="s">
        <v>28</v>
      </c>
      <c r="H24" s="110">
        <v>3761.2170000000001</v>
      </c>
      <c r="I24" s="110">
        <v>5597</v>
      </c>
      <c r="J24" s="110">
        <v>6536</v>
      </c>
      <c r="K24" s="110">
        <v>2450</v>
      </c>
      <c r="L24" s="110">
        <v>15949</v>
      </c>
      <c r="M24" s="144"/>
      <c r="N24" s="110">
        <v>19674</v>
      </c>
      <c r="O24" s="144"/>
      <c r="P24" s="110">
        <f t="shared" si="0"/>
        <v>44499</v>
      </c>
      <c r="Q24" s="146"/>
      <c r="R24" s="136"/>
    </row>
    <row r="25" spans="1:18" x14ac:dyDescent="0.2">
      <c r="A25" s="107" t="s">
        <v>15</v>
      </c>
      <c r="B25" s="110" t="s">
        <v>28</v>
      </c>
      <c r="C25" s="110" t="s">
        <v>28</v>
      </c>
      <c r="D25" s="110" t="s">
        <v>28</v>
      </c>
      <c r="E25" s="110" t="s">
        <v>28</v>
      </c>
      <c r="F25" s="110" t="s">
        <v>28</v>
      </c>
      <c r="G25" s="110" t="s">
        <v>28</v>
      </c>
      <c r="H25" s="110">
        <v>1.2999999999999999E-2</v>
      </c>
      <c r="I25" s="110">
        <v>35</v>
      </c>
      <c r="J25" s="110">
        <v>5</v>
      </c>
      <c r="K25" s="110">
        <v>7</v>
      </c>
      <c r="L25" s="110">
        <v>86</v>
      </c>
      <c r="M25" s="144"/>
      <c r="N25" s="110">
        <v>934</v>
      </c>
      <c r="O25" s="144"/>
      <c r="P25" s="110">
        <f t="shared" si="0"/>
        <v>1062</v>
      </c>
      <c r="Q25" s="146"/>
      <c r="R25" s="136"/>
    </row>
    <row r="26" spans="1:18" x14ac:dyDescent="0.2">
      <c r="A26" s="107" t="s">
        <v>16</v>
      </c>
      <c r="B26" s="110" t="s">
        <v>28</v>
      </c>
      <c r="C26" s="110" t="s">
        <v>28</v>
      </c>
      <c r="D26" s="110">
        <v>39</v>
      </c>
      <c r="E26" s="110">
        <v>91</v>
      </c>
      <c r="F26" s="110" t="s">
        <v>28</v>
      </c>
      <c r="G26" s="110" t="s">
        <v>28</v>
      </c>
      <c r="H26" s="110">
        <v>1465.6489999999999</v>
      </c>
      <c r="I26" s="110">
        <v>2661</v>
      </c>
      <c r="J26" s="110">
        <v>99</v>
      </c>
      <c r="K26" s="110">
        <v>109</v>
      </c>
      <c r="L26" s="110">
        <v>81</v>
      </c>
      <c r="M26" s="144"/>
      <c r="N26" s="110">
        <v>4001</v>
      </c>
      <c r="O26" s="144"/>
      <c r="P26" s="110">
        <f t="shared" si="0"/>
        <v>6943</v>
      </c>
      <c r="Q26" s="146"/>
      <c r="R26" s="136"/>
    </row>
    <row r="27" spans="1:18" x14ac:dyDescent="0.2">
      <c r="A27" s="107" t="s">
        <v>17</v>
      </c>
      <c r="B27" s="110" t="s">
        <v>28</v>
      </c>
      <c r="C27" s="110" t="s">
        <v>28</v>
      </c>
      <c r="D27" s="110" t="s">
        <v>28</v>
      </c>
      <c r="E27" s="110" t="s">
        <v>28</v>
      </c>
      <c r="F27" s="110" t="s">
        <v>28</v>
      </c>
      <c r="G27" s="110" t="s">
        <v>28</v>
      </c>
      <c r="H27" s="110">
        <v>277.315</v>
      </c>
      <c r="I27" s="110">
        <v>418</v>
      </c>
      <c r="J27" s="110">
        <v>1</v>
      </c>
      <c r="K27" s="110" t="s">
        <v>28</v>
      </c>
      <c r="L27" s="110">
        <v>1885</v>
      </c>
      <c r="M27" s="144"/>
      <c r="N27" s="110">
        <v>237</v>
      </c>
      <c r="O27" s="144"/>
      <c r="P27" s="110">
        <f t="shared" si="0"/>
        <v>2540</v>
      </c>
      <c r="Q27" s="146"/>
      <c r="R27" s="136"/>
    </row>
    <row r="28" spans="1:18" x14ac:dyDescent="0.2">
      <c r="A28" s="107" t="s">
        <v>18</v>
      </c>
      <c r="B28" s="110" t="s">
        <v>28</v>
      </c>
      <c r="C28" s="110" t="s">
        <v>28</v>
      </c>
      <c r="D28" s="110">
        <v>586</v>
      </c>
      <c r="E28" s="110">
        <v>686</v>
      </c>
      <c r="F28" s="110" t="s">
        <v>28</v>
      </c>
      <c r="G28" s="110" t="s">
        <v>28</v>
      </c>
      <c r="H28" s="110" t="s">
        <v>28</v>
      </c>
      <c r="I28" s="110" t="s">
        <v>28</v>
      </c>
      <c r="J28" s="110" t="s">
        <v>28</v>
      </c>
      <c r="K28" s="110">
        <v>93</v>
      </c>
      <c r="L28" s="110">
        <v>0</v>
      </c>
      <c r="M28" s="144"/>
      <c r="N28" s="110">
        <v>16</v>
      </c>
      <c r="O28" s="144"/>
      <c r="P28" s="110">
        <f t="shared" si="0"/>
        <v>795</v>
      </c>
      <c r="Q28" s="146"/>
      <c r="R28" s="136"/>
    </row>
    <row r="29" spans="1:18" x14ac:dyDescent="0.2">
      <c r="A29" s="107" t="s">
        <v>19</v>
      </c>
      <c r="B29" s="110" t="s">
        <v>28</v>
      </c>
      <c r="C29" s="110" t="s">
        <v>28</v>
      </c>
      <c r="D29" s="110" t="s">
        <v>28</v>
      </c>
      <c r="E29" s="110" t="s">
        <v>28</v>
      </c>
      <c r="F29" s="110" t="s">
        <v>28</v>
      </c>
      <c r="G29" s="110" t="s">
        <v>28</v>
      </c>
      <c r="H29" s="110" t="s">
        <v>28</v>
      </c>
      <c r="I29" s="110" t="s">
        <v>28</v>
      </c>
      <c r="J29" s="110">
        <v>1</v>
      </c>
      <c r="K29" s="110">
        <v>2</v>
      </c>
      <c r="L29" s="110">
        <v>147</v>
      </c>
      <c r="M29" s="144"/>
      <c r="N29" s="110">
        <v>285</v>
      </c>
      <c r="O29" s="144"/>
      <c r="P29" s="110">
        <f t="shared" si="0"/>
        <v>434</v>
      </c>
      <c r="Q29" s="146"/>
      <c r="R29" s="136"/>
    </row>
    <row r="30" spans="1:18" x14ac:dyDescent="0.2">
      <c r="A30" s="107" t="s">
        <v>20</v>
      </c>
      <c r="B30" s="110" t="s">
        <v>28</v>
      </c>
      <c r="C30" s="110" t="s">
        <v>28</v>
      </c>
      <c r="D30" s="110" t="s">
        <v>28</v>
      </c>
      <c r="E30" s="110" t="s">
        <v>28</v>
      </c>
      <c r="F30" s="110" t="s">
        <v>28</v>
      </c>
      <c r="G30" s="110" t="s">
        <v>28</v>
      </c>
      <c r="H30" s="110">
        <v>503.31599999999997</v>
      </c>
      <c r="I30" s="110">
        <v>848</v>
      </c>
      <c r="J30" s="110">
        <v>164</v>
      </c>
      <c r="K30" s="110">
        <v>126</v>
      </c>
      <c r="L30" s="110">
        <v>105</v>
      </c>
      <c r="M30" s="144"/>
      <c r="N30" s="110">
        <v>1624</v>
      </c>
      <c r="O30" s="144"/>
      <c r="P30" s="110">
        <f t="shared" si="0"/>
        <v>2703</v>
      </c>
      <c r="Q30" s="146"/>
      <c r="R30" s="136"/>
    </row>
    <row r="31" spans="1:18" x14ac:dyDescent="0.2">
      <c r="A31" s="107" t="s">
        <v>21</v>
      </c>
      <c r="B31" s="110" t="s">
        <v>28</v>
      </c>
      <c r="C31" s="110" t="s">
        <v>28</v>
      </c>
      <c r="D31" s="110">
        <v>18</v>
      </c>
      <c r="E31" s="110">
        <v>112</v>
      </c>
      <c r="F31" s="110" t="s">
        <v>28</v>
      </c>
      <c r="G31" s="110" t="s">
        <v>28</v>
      </c>
      <c r="H31" s="110">
        <v>5008.6620000000003</v>
      </c>
      <c r="I31" s="110">
        <v>29401</v>
      </c>
      <c r="J31" s="110">
        <v>34</v>
      </c>
      <c r="K31" s="110">
        <v>32</v>
      </c>
      <c r="L31" s="110">
        <v>478</v>
      </c>
      <c r="M31" s="144"/>
      <c r="N31" s="110">
        <v>5666</v>
      </c>
      <c r="O31" s="144"/>
      <c r="P31" s="110">
        <f t="shared" si="0"/>
        <v>35689</v>
      </c>
      <c r="Q31" s="146"/>
      <c r="R31" s="136"/>
    </row>
    <row r="32" spans="1:18" x14ac:dyDescent="0.2">
      <c r="A32" s="107" t="s">
        <v>22</v>
      </c>
      <c r="B32" s="110">
        <v>11</v>
      </c>
      <c r="C32" s="110">
        <v>4</v>
      </c>
      <c r="D32" s="110" t="s">
        <v>28</v>
      </c>
      <c r="E32" s="110" t="s">
        <v>28</v>
      </c>
      <c r="F32" s="110" t="s">
        <v>28</v>
      </c>
      <c r="G32" s="110" t="s">
        <v>28</v>
      </c>
      <c r="H32" s="110">
        <v>6484.7849999999999</v>
      </c>
      <c r="I32" s="110">
        <v>7148</v>
      </c>
      <c r="J32" s="110">
        <v>1427</v>
      </c>
      <c r="K32" s="110">
        <v>2124</v>
      </c>
      <c r="L32" s="110">
        <v>49</v>
      </c>
      <c r="M32" s="144"/>
      <c r="N32" s="110">
        <v>401</v>
      </c>
      <c r="O32" s="144"/>
      <c r="P32" s="110">
        <f t="shared" si="0"/>
        <v>9726</v>
      </c>
      <c r="Q32" s="146"/>
      <c r="R32" s="136"/>
    </row>
    <row r="33" spans="1:18" x14ac:dyDescent="0.2">
      <c r="A33" s="107" t="s">
        <v>23</v>
      </c>
      <c r="B33" s="110" t="s">
        <v>28</v>
      </c>
      <c r="C33" s="110" t="s">
        <v>28</v>
      </c>
      <c r="D33" s="110" t="s">
        <v>28</v>
      </c>
      <c r="E33" s="110" t="s">
        <v>28</v>
      </c>
      <c r="F33" s="110" t="s">
        <v>28</v>
      </c>
      <c r="G33" s="110" t="s">
        <v>28</v>
      </c>
      <c r="H33" s="110">
        <v>588.47699999999998</v>
      </c>
      <c r="I33" s="110">
        <v>2643</v>
      </c>
      <c r="J33" s="110">
        <v>353</v>
      </c>
      <c r="K33" s="110">
        <v>405</v>
      </c>
      <c r="L33" s="110">
        <v>234</v>
      </c>
      <c r="M33" s="144"/>
      <c r="N33" s="110">
        <v>1898</v>
      </c>
      <c r="O33" s="144"/>
      <c r="P33" s="110">
        <f t="shared" si="0"/>
        <v>5180</v>
      </c>
      <c r="Q33" s="146"/>
      <c r="R33" s="136"/>
    </row>
    <row r="34" spans="1:18" x14ac:dyDescent="0.2">
      <c r="A34" s="107" t="s">
        <v>24</v>
      </c>
      <c r="B34" s="110" t="s">
        <v>28</v>
      </c>
      <c r="C34" s="110" t="s">
        <v>28</v>
      </c>
      <c r="D34" s="110">
        <v>45</v>
      </c>
      <c r="E34" s="110">
        <v>28</v>
      </c>
      <c r="F34" s="110" t="s">
        <v>28</v>
      </c>
      <c r="G34" s="110" t="s">
        <v>28</v>
      </c>
      <c r="H34" s="110">
        <v>7507.2250000000004</v>
      </c>
      <c r="I34" s="110">
        <v>10087</v>
      </c>
      <c r="J34" s="110">
        <v>755</v>
      </c>
      <c r="K34" s="110">
        <v>182</v>
      </c>
      <c r="L34" s="110">
        <v>200</v>
      </c>
      <c r="M34" s="144"/>
      <c r="N34" s="110">
        <v>2445</v>
      </c>
      <c r="O34" s="144"/>
      <c r="P34" s="110">
        <f t="shared" si="0"/>
        <v>12942</v>
      </c>
      <c r="Q34" s="146"/>
      <c r="R34" s="136"/>
    </row>
    <row r="35" spans="1:18" x14ac:dyDescent="0.2">
      <c r="A35" s="107" t="s">
        <v>25</v>
      </c>
      <c r="B35" s="110" t="s">
        <v>28</v>
      </c>
      <c r="C35" s="110" t="s">
        <v>28</v>
      </c>
      <c r="D35" s="110" t="s">
        <v>28</v>
      </c>
      <c r="E35" s="110" t="s">
        <v>28</v>
      </c>
      <c r="F35" s="110" t="s">
        <v>28</v>
      </c>
      <c r="G35" s="110" t="s">
        <v>28</v>
      </c>
      <c r="H35" s="110">
        <v>149.50700000000001</v>
      </c>
      <c r="I35" s="110">
        <v>826</v>
      </c>
      <c r="J35" s="110" t="s">
        <v>28</v>
      </c>
      <c r="K35" s="110" t="s">
        <v>28</v>
      </c>
      <c r="L35" s="110">
        <v>34</v>
      </c>
      <c r="M35" s="144"/>
      <c r="N35" s="110">
        <v>207</v>
      </c>
      <c r="O35" s="144"/>
      <c r="P35" s="110">
        <f t="shared" si="0"/>
        <v>1067</v>
      </c>
      <c r="Q35" s="146"/>
      <c r="R35" s="136"/>
    </row>
    <row r="36" spans="1:18" x14ac:dyDescent="0.2">
      <c r="A36" s="107" t="s">
        <v>26</v>
      </c>
      <c r="B36" s="110" t="s">
        <v>28</v>
      </c>
      <c r="C36" s="110" t="s">
        <v>28</v>
      </c>
      <c r="D36" s="110">
        <v>45</v>
      </c>
      <c r="E36" s="110">
        <v>58</v>
      </c>
      <c r="F36" s="110" t="s">
        <v>28</v>
      </c>
      <c r="G36" s="110" t="s">
        <v>28</v>
      </c>
      <c r="H36" s="110">
        <v>6022.7240000000002</v>
      </c>
      <c r="I36" s="110">
        <v>9852</v>
      </c>
      <c r="J36" s="110">
        <v>2171</v>
      </c>
      <c r="K36" s="110">
        <v>773</v>
      </c>
      <c r="L36" s="110">
        <v>6763</v>
      </c>
      <c r="M36" s="144"/>
      <c r="N36" s="110">
        <v>5354</v>
      </c>
      <c r="O36" s="144"/>
      <c r="P36" s="110">
        <f t="shared" si="0"/>
        <v>22800</v>
      </c>
      <c r="Q36" s="146"/>
      <c r="R36" s="136"/>
    </row>
    <row r="37" spans="1:18" x14ac:dyDescent="0.2">
      <c r="A37" s="107" t="s">
        <v>95</v>
      </c>
      <c r="B37" s="110">
        <v>729</v>
      </c>
      <c r="C37" s="110">
        <v>825</v>
      </c>
      <c r="D37" s="110">
        <v>4080</v>
      </c>
      <c r="E37" s="110">
        <v>4031</v>
      </c>
      <c r="F37" s="110">
        <v>2196</v>
      </c>
      <c r="G37" s="110">
        <v>2723</v>
      </c>
      <c r="H37" s="110">
        <v>22578.799999999999</v>
      </c>
      <c r="I37" s="110">
        <v>38819</v>
      </c>
      <c r="J37" s="110">
        <v>2341</v>
      </c>
      <c r="K37" s="110">
        <v>3136</v>
      </c>
      <c r="L37" s="110">
        <v>1870</v>
      </c>
      <c r="M37" s="144"/>
      <c r="N37" s="110">
        <v>30488</v>
      </c>
      <c r="O37" s="144"/>
      <c r="P37" s="110">
        <f t="shared" si="0"/>
        <v>81892</v>
      </c>
      <c r="Q37" s="146"/>
      <c r="R37" s="136"/>
    </row>
    <row r="38" spans="1:18" x14ac:dyDescent="0.2">
      <c r="A38" s="107" t="s">
        <v>107</v>
      </c>
      <c r="B38" s="110" t="s">
        <v>28</v>
      </c>
      <c r="C38" s="110" t="s">
        <v>28</v>
      </c>
      <c r="D38" s="110">
        <v>166</v>
      </c>
      <c r="E38" s="110">
        <v>161</v>
      </c>
      <c r="F38" s="110" t="s">
        <v>28</v>
      </c>
      <c r="G38" s="110" t="s">
        <v>28</v>
      </c>
      <c r="H38" s="110">
        <v>2969.7739999999999</v>
      </c>
      <c r="I38" s="110">
        <v>4870</v>
      </c>
      <c r="J38" s="110">
        <v>63</v>
      </c>
      <c r="K38" s="110">
        <v>92</v>
      </c>
      <c r="L38" s="110">
        <v>26683</v>
      </c>
      <c r="M38" s="144"/>
      <c r="N38" s="110">
        <v>4230</v>
      </c>
      <c r="O38" s="144"/>
      <c r="P38" s="110">
        <f t="shared" si="0"/>
        <v>36036</v>
      </c>
      <c r="Q38" s="146"/>
      <c r="R38" s="136"/>
    </row>
    <row r="39" spans="1:18" x14ac:dyDescent="0.2">
      <c r="A39" s="107" t="s">
        <v>75</v>
      </c>
      <c r="B39" s="110">
        <v>1581</v>
      </c>
      <c r="C39" s="110">
        <v>1464</v>
      </c>
      <c r="D39" s="110">
        <v>7337</v>
      </c>
      <c r="E39" s="110">
        <v>8147</v>
      </c>
      <c r="F39" s="110">
        <v>418</v>
      </c>
      <c r="G39" s="110">
        <v>296</v>
      </c>
      <c r="H39" s="110">
        <v>2872.953</v>
      </c>
      <c r="I39" s="110">
        <v>5615</v>
      </c>
      <c r="J39" s="110">
        <v>19115</v>
      </c>
      <c r="K39" s="110">
        <v>13035</v>
      </c>
      <c r="L39" s="110">
        <v>2859</v>
      </c>
      <c r="M39" s="144"/>
      <c r="N39" s="110">
        <v>19734</v>
      </c>
      <c r="O39" s="144"/>
      <c r="P39" s="110">
        <f t="shared" si="0"/>
        <v>51150</v>
      </c>
      <c r="Q39" s="146"/>
      <c r="R39" s="136"/>
    </row>
    <row r="40" spans="1:18" x14ac:dyDescent="0.2">
      <c r="A40" s="113" t="s">
        <v>27</v>
      </c>
      <c r="B40" s="114">
        <v>4585</v>
      </c>
      <c r="C40" s="114">
        <v>3947</v>
      </c>
      <c r="D40" s="114">
        <v>41900</v>
      </c>
      <c r="E40" s="114">
        <v>49679</v>
      </c>
      <c r="F40" s="114">
        <v>17081</v>
      </c>
      <c r="G40" s="114">
        <v>14070</v>
      </c>
      <c r="H40" s="114">
        <v>439850.72100000002</v>
      </c>
      <c r="I40" s="114">
        <v>657338</v>
      </c>
      <c r="J40" s="114">
        <v>99419</v>
      </c>
      <c r="K40" s="114">
        <v>43159</v>
      </c>
      <c r="L40" s="114">
        <v>218218</v>
      </c>
      <c r="M40" s="145" t="s">
        <v>227</v>
      </c>
      <c r="N40" s="114">
        <v>441890</v>
      </c>
      <c r="O40" s="145" t="s">
        <v>227</v>
      </c>
      <c r="P40" s="114">
        <f t="shared" si="0"/>
        <v>1428301</v>
      </c>
      <c r="Q40" s="145" t="s">
        <v>227</v>
      </c>
      <c r="R40" s="136"/>
    </row>
    <row r="41" spans="1:18" x14ac:dyDescent="0.2">
      <c r="E41" s="97"/>
    </row>
    <row r="42" spans="1:18" x14ac:dyDescent="0.2">
      <c r="A42" s="116" t="s">
        <v>48</v>
      </c>
      <c r="G42" s="97"/>
    </row>
    <row r="43" spans="1:18" x14ac:dyDescent="0.2">
      <c r="A43" s="117" t="s">
        <v>106</v>
      </c>
    </row>
    <row r="44" spans="1:18" x14ac:dyDescent="0.2">
      <c r="A44" s="117"/>
    </row>
    <row r="45" spans="1:18" x14ac:dyDescent="0.2">
      <c r="A45" s="108" t="s">
        <v>37</v>
      </c>
    </row>
    <row r="46" spans="1:18" x14ac:dyDescent="0.2">
      <c r="A46" s="118" t="s">
        <v>104</v>
      </c>
    </row>
    <row r="47" spans="1:18" x14ac:dyDescent="0.2">
      <c r="A47" s="118" t="s">
        <v>55</v>
      </c>
    </row>
    <row r="48" spans="1:18" x14ac:dyDescent="0.2">
      <c r="A48" s="118" t="s">
        <v>56</v>
      </c>
    </row>
    <row r="49" spans="1:1" x14ac:dyDescent="0.2">
      <c r="A49" s="118" t="s">
        <v>67</v>
      </c>
    </row>
    <row r="50" spans="1:1" x14ac:dyDescent="0.2">
      <c r="A50" s="118" t="s">
        <v>68</v>
      </c>
    </row>
    <row r="51" spans="1:1" x14ac:dyDescent="0.2">
      <c r="A51" s="118" t="s">
        <v>72</v>
      </c>
    </row>
    <row r="52" spans="1:1" x14ac:dyDescent="0.2">
      <c r="A52" s="118" t="s">
        <v>73</v>
      </c>
    </row>
    <row r="53" spans="1:1" x14ac:dyDescent="0.2">
      <c r="A53" s="118" t="s">
        <v>74</v>
      </c>
    </row>
    <row r="54" spans="1:1" x14ac:dyDescent="0.2">
      <c r="A54" s="119"/>
    </row>
    <row r="55" spans="1:1" x14ac:dyDescent="0.2">
      <c r="A55" s="108" t="s">
        <v>50</v>
      </c>
    </row>
    <row r="56" spans="1:1" x14ac:dyDescent="0.2">
      <c r="A56" s="120" t="s">
        <v>105</v>
      </c>
    </row>
  </sheetData>
  <mergeCells count="6">
    <mergeCell ref="J3:K3"/>
    <mergeCell ref="A3:A5"/>
    <mergeCell ref="B3:C3"/>
    <mergeCell ref="D3:E3"/>
    <mergeCell ref="F3:G3"/>
    <mergeCell ref="H3:I3"/>
  </mergeCells>
  <pageMargins left="0.75" right="0.75" top="1" bottom="1" header="0.5" footer="0.5"/>
  <pageSetup paperSize="9" scale="73"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R56"/>
  <sheetViews>
    <sheetView zoomScaleNormal="100" workbookViewId="0"/>
  </sheetViews>
  <sheetFormatPr defaultRowHeight="12.75" x14ac:dyDescent="0.2"/>
  <cols>
    <col min="1" max="1" width="30.7109375" customWidth="1"/>
    <col min="2" max="11" width="9.7109375" customWidth="1"/>
    <col min="12" max="12" width="13.7109375" customWidth="1"/>
    <col min="13" max="13" width="1.42578125" customWidth="1"/>
    <col min="14" max="14" width="13.7109375" customWidth="1"/>
    <col min="15" max="15" width="1.5703125" customWidth="1"/>
    <col min="16" max="16" width="13.7109375" customWidth="1"/>
    <col min="17" max="17" width="1.5703125" customWidth="1"/>
  </cols>
  <sheetData>
    <row r="1" spans="1:18" ht="16.5" x14ac:dyDescent="0.2">
      <c r="A1" s="76" t="s">
        <v>111</v>
      </c>
    </row>
    <row r="3" spans="1:18" s="105" customFormat="1" ht="21" customHeight="1" x14ac:dyDescent="0.2">
      <c r="A3" s="163" t="s">
        <v>38</v>
      </c>
      <c r="B3" s="165" t="s">
        <v>36</v>
      </c>
      <c r="C3" s="165"/>
      <c r="D3" s="168" t="s">
        <v>90</v>
      </c>
      <c r="E3" s="169"/>
      <c r="F3" s="165" t="s">
        <v>35</v>
      </c>
      <c r="G3" s="165"/>
      <c r="H3" s="165" t="s">
        <v>91</v>
      </c>
      <c r="I3" s="165"/>
      <c r="J3" s="165" t="s">
        <v>70</v>
      </c>
      <c r="K3" s="165"/>
      <c r="L3" s="106" t="s">
        <v>92</v>
      </c>
      <c r="M3" s="106"/>
      <c r="N3" s="106" t="s">
        <v>71</v>
      </c>
      <c r="O3" s="106"/>
      <c r="P3" s="106" t="s">
        <v>34</v>
      </c>
      <c r="Q3" s="107"/>
    </row>
    <row r="4" spans="1:18" s="105" customFormat="1" x14ac:dyDescent="0.2">
      <c r="A4" s="163"/>
      <c r="B4" s="108" t="s">
        <v>59</v>
      </c>
      <c r="C4" s="108" t="s">
        <v>57</v>
      </c>
      <c r="D4" s="108" t="s">
        <v>69</v>
      </c>
      <c r="E4" s="108" t="s">
        <v>57</v>
      </c>
      <c r="F4" s="108" t="s">
        <v>58</v>
      </c>
      <c r="G4" s="108" t="s">
        <v>57</v>
      </c>
      <c r="H4" s="108" t="s">
        <v>58</v>
      </c>
      <c r="I4" s="108" t="s">
        <v>57</v>
      </c>
      <c r="J4" s="108" t="s">
        <v>58</v>
      </c>
      <c r="K4" s="108" t="s">
        <v>57</v>
      </c>
      <c r="L4" s="108" t="s">
        <v>57</v>
      </c>
      <c r="M4" s="108"/>
      <c r="N4" s="108" t="s">
        <v>57</v>
      </c>
      <c r="O4" s="108"/>
      <c r="P4" s="108" t="s">
        <v>57</v>
      </c>
      <c r="Q4" s="107"/>
    </row>
    <row r="5" spans="1:18" s="105" customFormat="1" x14ac:dyDescent="0.2">
      <c r="A5" s="164"/>
      <c r="B5" s="109" t="s">
        <v>60</v>
      </c>
      <c r="C5" s="109" t="s">
        <v>61</v>
      </c>
      <c r="D5" s="109" t="s">
        <v>62</v>
      </c>
      <c r="E5" s="109" t="s">
        <v>61</v>
      </c>
      <c r="F5" s="109" t="s">
        <v>63</v>
      </c>
      <c r="G5" s="109" t="s">
        <v>61</v>
      </c>
      <c r="H5" s="109" t="s">
        <v>63</v>
      </c>
      <c r="I5" s="109" t="s">
        <v>61</v>
      </c>
      <c r="J5" s="109" t="s">
        <v>64</v>
      </c>
      <c r="K5" s="109" t="s">
        <v>61</v>
      </c>
      <c r="L5" s="109" t="s">
        <v>61</v>
      </c>
      <c r="M5" s="109"/>
      <c r="N5" s="109" t="s">
        <v>61</v>
      </c>
      <c r="O5" s="109"/>
      <c r="P5" s="109" t="s">
        <v>61</v>
      </c>
      <c r="Q5" s="107"/>
    </row>
    <row r="6" spans="1:18" x14ac:dyDescent="0.2">
      <c r="A6" s="107" t="s">
        <v>0</v>
      </c>
      <c r="B6" s="110">
        <v>1468</v>
      </c>
      <c r="C6" s="110">
        <v>1259</v>
      </c>
      <c r="D6" s="110">
        <v>5513</v>
      </c>
      <c r="E6" s="110">
        <v>7231</v>
      </c>
      <c r="F6" s="110" t="s">
        <v>28</v>
      </c>
      <c r="G6" s="110">
        <v>1</v>
      </c>
      <c r="H6" s="110">
        <v>186292.91099999999</v>
      </c>
      <c r="I6" s="110">
        <v>246006</v>
      </c>
      <c r="J6" s="110">
        <v>8952</v>
      </c>
      <c r="K6" s="110">
        <v>5084</v>
      </c>
      <c r="L6" s="110">
        <v>5357</v>
      </c>
      <c r="M6" s="144"/>
      <c r="N6" s="110">
        <v>156753</v>
      </c>
      <c r="O6" s="110"/>
      <c r="P6" s="110">
        <v>421691</v>
      </c>
      <c r="Q6" s="136"/>
      <c r="R6" s="136"/>
    </row>
    <row r="7" spans="1:18" x14ac:dyDescent="0.2">
      <c r="A7" s="107" t="s">
        <v>1</v>
      </c>
      <c r="B7" s="110" t="s">
        <v>28</v>
      </c>
      <c r="C7" s="110" t="s">
        <v>28</v>
      </c>
      <c r="D7" s="110">
        <v>57</v>
      </c>
      <c r="E7" s="110">
        <v>27</v>
      </c>
      <c r="F7" s="110" t="s">
        <v>28</v>
      </c>
      <c r="G7" s="110" t="s">
        <v>28</v>
      </c>
      <c r="H7" s="110">
        <v>1221.99</v>
      </c>
      <c r="I7" s="110">
        <v>3141</v>
      </c>
      <c r="J7" s="110">
        <v>520</v>
      </c>
      <c r="K7" s="110">
        <v>704</v>
      </c>
      <c r="L7" s="110">
        <v>138</v>
      </c>
      <c r="M7" s="110"/>
      <c r="N7" s="110">
        <v>171</v>
      </c>
      <c r="O7" s="110"/>
      <c r="P7" s="110">
        <v>4181</v>
      </c>
      <c r="Q7" s="136"/>
      <c r="R7" s="136"/>
    </row>
    <row r="8" spans="1:18" x14ac:dyDescent="0.2">
      <c r="A8" s="107" t="s">
        <v>2</v>
      </c>
      <c r="B8" s="110" t="s">
        <v>28</v>
      </c>
      <c r="C8" s="110" t="s">
        <v>28</v>
      </c>
      <c r="D8" s="110" t="s">
        <v>28</v>
      </c>
      <c r="E8" s="110" t="s">
        <v>28</v>
      </c>
      <c r="F8" s="110" t="s">
        <v>28</v>
      </c>
      <c r="G8" s="110" t="s">
        <v>28</v>
      </c>
      <c r="H8" s="110">
        <v>1109.6579999999999</v>
      </c>
      <c r="I8" s="110">
        <v>3800</v>
      </c>
      <c r="J8" s="110">
        <v>1188</v>
      </c>
      <c r="K8" s="110">
        <v>1072</v>
      </c>
      <c r="L8" s="110">
        <v>63</v>
      </c>
      <c r="M8" s="110"/>
      <c r="N8" s="110">
        <v>3740</v>
      </c>
      <c r="O8" s="110"/>
      <c r="P8" s="110">
        <v>8675</v>
      </c>
      <c r="Q8" s="136"/>
      <c r="R8" s="136"/>
    </row>
    <row r="9" spans="1:18" x14ac:dyDescent="0.2">
      <c r="A9" s="107" t="s">
        <v>3</v>
      </c>
      <c r="B9" s="110" t="s">
        <v>28</v>
      </c>
      <c r="C9" s="110" t="s">
        <v>28</v>
      </c>
      <c r="D9" s="110">
        <v>823</v>
      </c>
      <c r="E9" s="110">
        <v>676</v>
      </c>
      <c r="F9" s="110">
        <v>806</v>
      </c>
      <c r="G9" s="110">
        <v>790</v>
      </c>
      <c r="H9" s="110">
        <v>1121.086</v>
      </c>
      <c r="I9" s="110">
        <v>1617</v>
      </c>
      <c r="J9" s="110">
        <v>1733</v>
      </c>
      <c r="K9" s="110">
        <v>1165</v>
      </c>
      <c r="L9" s="110">
        <v>72</v>
      </c>
      <c r="M9" s="110"/>
      <c r="N9" s="110">
        <v>446</v>
      </c>
      <c r="O9" s="110"/>
      <c r="P9" s="110">
        <v>4766</v>
      </c>
      <c r="Q9" s="136"/>
      <c r="R9" s="136"/>
    </row>
    <row r="10" spans="1:18" x14ac:dyDescent="0.2">
      <c r="A10" s="107" t="s">
        <v>86</v>
      </c>
      <c r="B10" s="110" t="s">
        <v>28</v>
      </c>
      <c r="C10" s="110" t="s">
        <v>28</v>
      </c>
      <c r="D10" s="110">
        <v>9</v>
      </c>
      <c r="E10" s="110">
        <v>12</v>
      </c>
      <c r="F10" s="110" t="s">
        <v>28</v>
      </c>
      <c r="G10" s="110">
        <v>2</v>
      </c>
      <c r="H10" s="110">
        <v>4711.6670000000004</v>
      </c>
      <c r="I10" s="110">
        <v>10155</v>
      </c>
      <c r="J10" s="110">
        <v>79</v>
      </c>
      <c r="K10" s="110">
        <v>294</v>
      </c>
      <c r="L10" s="110">
        <v>638</v>
      </c>
      <c r="M10" s="110"/>
      <c r="N10" s="110">
        <v>6035</v>
      </c>
      <c r="O10" s="110"/>
      <c r="P10" s="110">
        <v>17136</v>
      </c>
      <c r="Q10" s="136"/>
      <c r="R10" s="136"/>
    </row>
    <row r="11" spans="1:18" x14ac:dyDescent="0.2">
      <c r="A11" s="107" t="s">
        <v>4</v>
      </c>
      <c r="B11" s="110" t="s">
        <v>28</v>
      </c>
      <c r="C11" s="110" t="s">
        <v>28</v>
      </c>
      <c r="D11" s="110">
        <v>15986</v>
      </c>
      <c r="E11" s="110">
        <v>22059</v>
      </c>
      <c r="F11" s="110">
        <v>13768</v>
      </c>
      <c r="G11" s="110">
        <v>13732</v>
      </c>
      <c r="H11" s="110">
        <v>1326.8820000000001</v>
      </c>
      <c r="I11" s="110">
        <v>2742</v>
      </c>
      <c r="J11" s="110">
        <v>147</v>
      </c>
      <c r="K11" s="110">
        <v>107</v>
      </c>
      <c r="L11" s="110">
        <v>55</v>
      </c>
      <c r="M11" s="110"/>
      <c r="N11" s="110">
        <v>3398</v>
      </c>
      <c r="O11" s="110"/>
      <c r="P11" s="110">
        <v>42093</v>
      </c>
      <c r="Q11" s="136"/>
      <c r="R11" s="136"/>
    </row>
    <row r="12" spans="1:18" x14ac:dyDescent="0.2">
      <c r="A12" s="107" t="s">
        <v>110</v>
      </c>
      <c r="B12" s="110" t="s">
        <v>28</v>
      </c>
      <c r="C12" s="110" t="s">
        <v>28</v>
      </c>
      <c r="D12" s="110">
        <v>1636</v>
      </c>
      <c r="E12" s="110">
        <v>678</v>
      </c>
      <c r="F12" s="110" t="s">
        <v>28</v>
      </c>
      <c r="G12" s="110" t="s">
        <v>28</v>
      </c>
      <c r="H12" s="110">
        <v>55453.061999999998</v>
      </c>
      <c r="I12" s="110">
        <v>81292</v>
      </c>
      <c r="J12" s="110">
        <v>18171</v>
      </c>
      <c r="K12" s="110">
        <v>8668</v>
      </c>
      <c r="L12" s="110">
        <v>122818</v>
      </c>
      <c r="M12" s="110"/>
      <c r="N12" s="110">
        <v>67060</v>
      </c>
      <c r="O12" s="110"/>
      <c r="P12" s="110">
        <v>280516</v>
      </c>
      <c r="Q12" s="136"/>
      <c r="R12" s="136"/>
    </row>
    <row r="13" spans="1:18" x14ac:dyDescent="0.2">
      <c r="A13" s="107" t="s">
        <v>5</v>
      </c>
      <c r="B13" s="110" t="s">
        <v>28</v>
      </c>
      <c r="C13" s="110" t="s">
        <v>28</v>
      </c>
      <c r="D13" s="110" t="s">
        <v>28</v>
      </c>
      <c r="E13" s="110" t="s">
        <v>28</v>
      </c>
      <c r="F13" s="110" t="s">
        <v>28</v>
      </c>
      <c r="G13" s="110" t="s">
        <v>28</v>
      </c>
      <c r="H13" s="110">
        <v>0.38700000000000001</v>
      </c>
      <c r="I13" s="110">
        <v>19</v>
      </c>
      <c r="J13" s="110">
        <v>450</v>
      </c>
      <c r="K13" s="110">
        <v>17</v>
      </c>
      <c r="L13" s="110">
        <v>567</v>
      </c>
      <c r="M13" s="110"/>
      <c r="N13" s="110">
        <v>3802</v>
      </c>
      <c r="O13" s="110"/>
      <c r="P13" s="110">
        <v>4405</v>
      </c>
      <c r="Q13" s="136"/>
      <c r="R13" s="136"/>
    </row>
    <row r="14" spans="1:18" x14ac:dyDescent="0.2">
      <c r="A14" s="107" t="s">
        <v>6</v>
      </c>
      <c r="B14" s="110">
        <v>23</v>
      </c>
      <c r="C14" s="110">
        <v>20</v>
      </c>
      <c r="D14" s="110">
        <v>1785</v>
      </c>
      <c r="E14" s="110">
        <v>1975</v>
      </c>
      <c r="F14" s="110" t="s">
        <v>28</v>
      </c>
      <c r="G14" s="110" t="s">
        <v>28</v>
      </c>
      <c r="H14" s="110">
        <v>7</v>
      </c>
      <c r="I14" s="110">
        <v>2</v>
      </c>
      <c r="J14" s="110">
        <v>188</v>
      </c>
      <c r="K14" s="110">
        <v>282</v>
      </c>
      <c r="L14" s="110">
        <v>227</v>
      </c>
      <c r="M14" s="110"/>
      <c r="N14" s="110">
        <v>251</v>
      </c>
      <c r="O14" s="110"/>
      <c r="P14" s="110">
        <v>2757</v>
      </c>
      <c r="Q14" s="136"/>
      <c r="R14" s="136"/>
    </row>
    <row r="15" spans="1:18" x14ac:dyDescent="0.2">
      <c r="A15" s="107" t="s">
        <v>7</v>
      </c>
      <c r="B15" s="110" t="s">
        <v>28</v>
      </c>
      <c r="C15" s="110" t="s">
        <v>28</v>
      </c>
      <c r="D15" s="110" t="s">
        <v>28</v>
      </c>
      <c r="E15" s="110" t="s">
        <v>28</v>
      </c>
      <c r="F15" s="110" t="s">
        <v>28</v>
      </c>
      <c r="G15" s="110" t="s">
        <v>28</v>
      </c>
      <c r="H15" s="110">
        <v>24137.698</v>
      </c>
      <c r="I15" s="110">
        <v>36649</v>
      </c>
      <c r="J15" s="110">
        <v>688</v>
      </c>
      <c r="K15" s="110">
        <v>834</v>
      </c>
      <c r="L15" s="110">
        <v>12</v>
      </c>
      <c r="M15" s="110"/>
      <c r="N15" s="110">
        <v>1056</v>
      </c>
      <c r="O15" s="110"/>
      <c r="P15" s="110">
        <v>38551</v>
      </c>
      <c r="Q15" s="136"/>
      <c r="R15" s="136"/>
    </row>
    <row r="16" spans="1:18" x14ac:dyDescent="0.2">
      <c r="A16" s="107" t="s">
        <v>8</v>
      </c>
      <c r="B16" s="110" t="s">
        <v>28</v>
      </c>
      <c r="C16" s="110" t="s">
        <v>28</v>
      </c>
      <c r="D16" s="110">
        <v>367</v>
      </c>
      <c r="E16" s="110">
        <v>585</v>
      </c>
      <c r="F16" s="110" t="s">
        <v>28</v>
      </c>
      <c r="G16" s="110" t="s">
        <v>28</v>
      </c>
      <c r="H16" s="110">
        <v>1711.2529999999999</v>
      </c>
      <c r="I16" s="110">
        <v>6706</v>
      </c>
      <c r="J16" s="110">
        <v>142</v>
      </c>
      <c r="K16" s="110">
        <v>166</v>
      </c>
      <c r="L16" s="110">
        <v>729</v>
      </c>
      <c r="M16" s="110"/>
      <c r="N16" s="110">
        <v>29583</v>
      </c>
      <c r="O16" s="110"/>
      <c r="P16" s="110">
        <v>37769</v>
      </c>
      <c r="Q16" s="136"/>
      <c r="R16" s="136"/>
    </row>
    <row r="17" spans="1:18" x14ac:dyDescent="0.2">
      <c r="A17" s="107" t="s">
        <v>9</v>
      </c>
      <c r="B17" s="110">
        <v>7</v>
      </c>
      <c r="C17" s="110">
        <v>11</v>
      </c>
      <c r="D17" s="110">
        <v>336</v>
      </c>
      <c r="E17" s="110">
        <v>50</v>
      </c>
      <c r="F17" s="110">
        <v>270</v>
      </c>
      <c r="G17" s="110">
        <v>370</v>
      </c>
      <c r="H17" s="110">
        <v>12402.300999999999</v>
      </c>
      <c r="I17" s="110">
        <v>29436</v>
      </c>
      <c r="J17" s="110">
        <v>3431</v>
      </c>
      <c r="K17" s="110">
        <v>1332</v>
      </c>
      <c r="L17" s="110">
        <v>2741</v>
      </c>
      <c r="M17" s="110"/>
      <c r="N17" s="110">
        <v>21827</v>
      </c>
      <c r="O17" s="110"/>
      <c r="P17" s="110">
        <v>55767</v>
      </c>
      <c r="Q17" s="136"/>
      <c r="R17" s="136"/>
    </row>
    <row r="18" spans="1:18" x14ac:dyDescent="0.2">
      <c r="A18" s="107" t="s">
        <v>109</v>
      </c>
      <c r="B18" s="110" t="s">
        <v>28</v>
      </c>
      <c r="C18" s="110" t="s">
        <v>28</v>
      </c>
      <c r="D18" s="110">
        <v>6</v>
      </c>
      <c r="E18" s="110">
        <v>25</v>
      </c>
      <c r="F18" s="110" t="s">
        <v>28</v>
      </c>
      <c r="G18" s="110" t="s">
        <v>28</v>
      </c>
      <c r="H18" s="110">
        <v>32.488999999999997</v>
      </c>
      <c r="I18" s="110">
        <v>121</v>
      </c>
      <c r="J18" s="110" t="s">
        <v>28</v>
      </c>
      <c r="K18" s="110" t="s">
        <v>28</v>
      </c>
      <c r="L18" s="110">
        <v>146</v>
      </c>
      <c r="M18" s="110"/>
      <c r="N18" s="110">
        <v>1963</v>
      </c>
      <c r="O18" s="110"/>
      <c r="P18" s="110">
        <v>2255</v>
      </c>
      <c r="Q18" s="136"/>
      <c r="R18" s="136"/>
    </row>
    <row r="19" spans="1:18" x14ac:dyDescent="0.2">
      <c r="A19" s="107" t="s">
        <v>10</v>
      </c>
      <c r="B19" s="110" t="s">
        <v>28</v>
      </c>
      <c r="C19" s="110" t="s">
        <v>28</v>
      </c>
      <c r="D19" s="110">
        <v>2</v>
      </c>
      <c r="E19" s="110">
        <v>5</v>
      </c>
      <c r="F19" s="110" t="s">
        <v>28</v>
      </c>
      <c r="G19" s="110" t="s">
        <v>28</v>
      </c>
      <c r="H19" s="110">
        <v>253.006</v>
      </c>
      <c r="I19" s="110">
        <v>1085</v>
      </c>
      <c r="J19" s="110">
        <v>188</v>
      </c>
      <c r="K19" s="110">
        <v>114</v>
      </c>
      <c r="L19" s="110">
        <v>1643</v>
      </c>
      <c r="M19" s="110"/>
      <c r="N19" s="110">
        <v>1634</v>
      </c>
      <c r="O19" s="110"/>
      <c r="P19" s="110">
        <v>4481</v>
      </c>
      <c r="Q19" s="136"/>
      <c r="R19" s="136"/>
    </row>
    <row r="20" spans="1:18" x14ac:dyDescent="0.2">
      <c r="A20" s="107" t="s">
        <v>11</v>
      </c>
      <c r="B20" s="110" t="s">
        <v>28</v>
      </c>
      <c r="C20" s="110" t="s">
        <v>28</v>
      </c>
      <c r="D20" s="110">
        <v>4111</v>
      </c>
      <c r="E20" s="110">
        <v>7345</v>
      </c>
      <c r="F20" s="110" t="s">
        <v>28</v>
      </c>
      <c r="G20" s="110" t="s">
        <v>28</v>
      </c>
      <c r="H20" s="110">
        <v>37055.784</v>
      </c>
      <c r="I20" s="110">
        <v>51172</v>
      </c>
      <c r="J20" s="110">
        <v>1222</v>
      </c>
      <c r="K20" s="110">
        <v>1280</v>
      </c>
      <c r="L20" s="110">
        <v>10597</v>
      </c>
      <c r="M20" s="110"/>
      <c r="N20" s="110">
        <v>17828</v>
      </c>
      <c r="O20" s="110"/>
      <c r="P20" s="110">
        <v>88222</v>
      </c>
      <c r="Q20" s="136"/>
      <c r="R20" s="136"/>
    </row>
    <row r="21" spans="1:18" x14ac:dyDescent="0.2">
      <c r="A21" s="107" t="s">
        <v>12</v>
      </c>
      <c r="B21" s="110">
        <v>102</v>
      </c>
      <c r="C21" s="110">
        <v>165</v>
      </c>
      <c r="D21" s="110">
        <v>153</v>
      </c>
      <c r="E21" s="110">
        <v>304</v>
      </c>
      <c r="F21" s="110" t="s">
        <v>28</v>
      </c>
      <c r="G21" s="110" t="s">
        <v>28</v>
      </c>
      <c r="H21" s="110">
        <v>4831.2979999999998</v>
      </c>
      <c r="I21" s="110">
        <v>8603</v>
      </c>
      <c r="J21" s="110">
        <v>2015</v>
      </c>
      <c r="K21" s="110">
        <v>2171</v>
      </c>
      <c r="L21" s="110">
        <v>4461</v>
      </c>
      <c r="M21" s="110"/>
      <c r="N21" s="110">
        <v>4574</v>
      </c>
      <c r="O21" s="110"/>
      <c r="P21" s="110">
        <v>20278</v>
      </c>
      <c r="Q21" s="136"/>
      <c r="R21" s="136"/>
    </row>
    <row r="22" spans="1:18" x14ac:dyDescent="0.2">
      <c r="A22" s="107" t="s">
        <v>13</v>
      </c>
      <c r="B22" s="110" t="s">
        <v>28</v>
      </c>
      <c r="C22" s="110" t="s">
        <v>28</v>
      </c>
      <c r="D22" s="110" t="s">
        <v>28</v>
      </c>
      <c r="E22" s="110" t="s">
        <v>28</v>
      </c>
      <c r="F22" s="110" t="s">
        <v>28</v>
      </c>
      <c r="G22" s="110" t="s">
        <v>28</v>
      </c>
      <c r="H22" s="110">
        <v>45343.016000000003</v>
      </c>
      <c r="I22" s="110">
        <v>59751</v>
      </c>
      <c r="J22" s="110" t="s">
        <v>28</v>
      </c>
      <c r="K22" s="110" t="s">
        <v>28</v>
      </c>
      <c r="L22" s="110">
        <v>53</v>
      </c>
      <c r="M22" s="110"/>
      <c r="N22" s="110">
        <v>1551</v>
      </c>
      <c r="O22" s="110"/>
      <c r="P22" s="110">
        <v>61355</v>
      </c>
      <c r="Q22" s="136"/>
      <c r="R22" s="136"/>
    </row>
    <row r="23" spans="1:18" x14ac:dyDescent="0.2">
      <c r="A23" s="107" t="s">
        <v>108</v>
      </c>
      <c r="B23" s="110" t="s">
        <v>28</v>
      </c>
      <c r="C23" s="110" t="s">
        <v>28</v>
      </c>
      <c r="D23" s="110" t="s">
        <v>28</v>
      </c>
      <c r="E23" s="110" t="s">
        <v>28</v>
      </c>
      <c r="F23" s="110" t="s">
        <v>28</v>
      </c>
      <c r="G23" s="110" t="s">
        <v>28</v>
      </c>
      <c r="H23" s="110">
        <v>22176.267</v>
      </c>
      <c r="I23" s="110">
        <v>30089</v>
      </c>
      <c r="J23" s="110">
        <v>685</v>
      </c>
      <c r="K23" s="110">
        <v>27</v>
      </c>
      <c r="L23" s="110">
        <v>225</v>
      </c>
      <c r="M23" s="110"/>
      <c r="N23" s="110">
        <v>4334</v>
      </c>
      <c r="O23" s="110"/>
      <c r="P23" s="110">
        <v>34675</v>
      </c>
      <c r="Q23" s="136"/>
      <c r="R23" s="136"/>
    </row>
    <row r="24" spans="1:18" x14ac:dyDescent="0.2">
      <c r="A24" s="107" t="s">
        <v>14</v>
      </c>
      <c r="B24" s="110" t="s">
        <v>28</v>
      </c>
      <c r="C24" s="110" t="s">
        <v>28</v>
      </c>
      <c r="D24" s="110">
        <v>217</v>
      </c>
      <c r="E24" s="110">
        <v>246</v>
      </c>
      <c r="F24" s="110" t="s">
        <v>28</v>
      </c>
      <c r="G24" s="110" t="s">
        <v>28</v>
      </c>
      <c r="H24" s="110">
        <v>7480.7380000000003</v>
      </c>
      <c r="I24" s="110">
        <v>8024</v>
      </c>
      <c r="J24" s="110">
        <v>1977</v>
      </c>
      <c r="K24" s="110">
        <v>2098</v>
      </c>
      <c r="L24" s="110">
        <v>16341</v>
      </c>
      <c r="M24" s="110"/>
      <c r="N24" s="110">
        <v>21616</v>
      </c>
      <c r="O24" s="110"/>
      <c r="P24" s="110">
        <v>48325</v>
      </c>
      <c r="Q24" s="136"/>
      <c r="R24" s="136"/>
    </row>
    <row r="25" spans="1:18" x14ac:dyDescent="0.2">
      <c r="A25" s="107" t="s">
        <v>15</v>
      </c>
      <c r="B25" s="110" t="s">
        <v>28</v>
      </c>
      <c r="C25" s="110" t="s">
        <v>28</v>
      </c>
      <c r="D25" s="110">
        <v>8</v>
      </c>
      <c r="E25" s="110">
        <v>25</v>
      </c>
      <c r="F25" s="110" t="s">
        <v>28</v>
      </c>
      <c r="G25" s="110" t="s">
        <v>28</v>
      </c>
      <c r="H25" s="110">
        <v>0.18099999999999999</v>
      </c>
      <c r="I25" s="110">
        <v>54</v>
      </c>
      <c r="J25" s="110" t="s">
        <v>28</v>
      </c>
      <c r="K25" s="110" t="s">
        <v>28</v>
      </c>
      <c r="L25" s="110">
        <v>26</v>
      </c>
      <c r="M25" s="110"/>
      <c r="N25" s="110">
        <v>1387</v>
      </c>
      <c r="O25" s="110"/>
      <c r="P25" s="110">
        <v>1492</v>
      </c>
      <c r="Q25" s="136"/>
      <c r="R25" s="136"/>
    </row>
    <row r="26" spans="1:18" x14ac:dyDescent="0.2">
      <c r="A26" s="107" t="s">
        <v>16</v>
      </c>
      <c r="B26" s="110" t="s">
        <v>28</v>
      </c>
      <c r="C26" s="110" t="s">
        <v>28</v>
      </c>
      <c r="D26" s="110">
        <v>69</v>
      </c>
      <c r="E26" s="110">
        <v>82</v>
      </c>
      <c r="F26" s="110" t="s">
        <v>28</v>
      </c>
      <c r="G26" s="110" t="s">
        <v>28</v>
      </c>
      <c r="H26" s="110">
        <v>992.19200000000001</v>
      </c>
      <c r="I26" s="110">
        <v>2120</v>
      </c>
      <c r="J26" s="110">
        <v>144</v>
      </c>
      <c r="K26" s="110">
        <v>10</v>
      </c>
      <c r="L26" s="110">
        <v>354</v>
      </c>
      <c r="M26" s="110"/>
      <c r="N26" s="110">
        <v>3440</v>
      </c>
      <c r="O26" s="110"/>
      <c r="P26" s="110">
        <v>6006</v>
      </c>
      <c r="Q26" s="136"/>
      <c r="R26" s="136"/>
    </row>
    <row r="27" spans="1:18" x14ac:dyDescent="0.2">
      <c r="A27" s="107" t="s">
        <v>17</v>
      </c>
      <c r="B27" s="110" t="s">
        <v>28</v>
      </c>
      <c r="C27" s="110" t="s">
        <v>28</v>
      </c>
      <c r="D27" s="110" t="s">
        <v>28</v>
      </c>
      <c r="E27" s="110" t="s">
        <v>28</v>
      </c>
      <c r="F27" s="110" t="s">
        <v>28</v>
      </c>
      <c r="G27" s="110" t="s">
        <v>28</v>
      </c>
      <c r="H27" s="110">
        <v>18.943000000000001</v>
      </c>
      <c r="I27" s="110">
        <v>87</v>
      </c>
      <c r="J27" s="110" t="s">
        <v>28</v>
      </c>
      <c r="K27" s="110" t="s">
        <v>28</v>
      </c>
      <c r="L27" s="110">
        <v>2488</v>
      </c>
      <c r="M27" s="110"/>
      <c r="N27" s="110">
        <v>115</v>
      </c>
      <c r="O27" s="110"/>
      <c r="P27" s="110">
        <v>2690</v>
      </c>
      <c r="Q27" s="136"/>
      <c r="R27" s="136"/>
    </row>
    <row r="28" spans="1:18" x14ac:dyDescent="0.2">
      <c r="A28" s="107" t="s">
        <v>18</v>
      </c>
      <c r="B28" s="110" t="s">
        <v>28</v>
      </c>
      <c r="C28" s="110" t="s">
        <v>28</v>
      </c>
      <c r="D28" s="110">
        <v>759</v>
      </c>
      <c r="E28" s="110">
        <v>838</v>
      </c>
      <c r="F28" s="110" t="s">
        <v>28</v>
      </c>
      <c r="G28" s="110" t="s">
        <v>28</v>
      </c>
      <c r="H28" s="110" t="s">
        <v>28</v>
      </c>
      <c r="I28" s="110" t="s">
        <v>28</v>
      </c>
      <c r="J28" s="110">
        <v>60</v>
      </c>
      <c r="K28" s="110">
        <v>118</v>
      </c>
      <c r="L28" s="110">
        <v>0</v>
      </c>
      <c r="M28" s="110"/>
      <c r="N28" s="110">
        <v>2</v>
      </c>
      <c r="O28" s="110"/>
      <c r="P28" s="110">
        <v>958</v>
      </c>
      <c r="Q28" s="136"/>
      <c r="R28" s="136"/>
    </row>
    <row r="29" spans="1:18" x14ac:dyDescent="0.2">
      <c r="A29" s="107" t="s">
        <v>19</v>
      </c>
      <c r="B29" s="110" t="s">
        <v>28</v>
      </c>
      <c r="C29" s="110" t="s">
        <v>28</v>
      </c>
      <c r="D29" s="110">
        <v>7</v>
      </c>
      <c r="E29" s="110">
        <v>20</v>
      </c>
      <c r="F29" s="110" t="s">
        <v>28</v>
      </c>
      <c r="G29" s="110" t="s">
        <v>28</v>
      </c>
      <c r="H29" s="110">
        <v>0.28499999999999998</v>
      </c>
      <c r="I29" s="110" t="s">
        <v>28</v>
      </c>
      <c r="J29" s="110" t="s">
        <v>28</v>
      </c>
      <c r="K29" s="110" t="s">
        <v>28</v>
      </c>
      <c r="L29" s="110">
        <v>73</v>
      </c>
      <c r="M29" s="110"/>
      <c r="N29" s="110">
        <v>489</v>
      </c>
      <c r="O29" s="110"/>
      <c r="P29" s="110">
        <v>582</v>
      </c>
      <c r="Q29" s="136"/>
      <c r="R29" s="136"/>
    </row>
    <row r="30" spans="1:18" x14ac:dyDescent="0.2">
      <c r="A30" s="107" t="s">
        <v>20</v>
      </c>
      <c r="B30" s="110" t="s">
        <v>28</v>
      </c>
      <c r="C30" s="110" t="s">
        <v>28</v>
      </c>
      <c r="D30" s="110" t="s">
        <v>28</v>
      </c>
      <c r="E30" s="110" t="s">
        <v>28</v>
      </c>
      <c r="F30" s="110" t="s">
        <v>28</v>
      </c>
      <c r="G30" s="110" t="s">
        <v>28</v>
      </c>
      <c r="H30" s="110">
        <v>547.02300000000002</v>
      </c>
      <c r="I30" s="110">
        <v>974</v>
      </c>
      <c r="J30" s="110">
        <v>145</v>
      </c>
      <c r="K30" s="110">
        <v>221</v>
      </c>
      <c r="L30" s="110">
        <v>50</v>
      </c>
      <c r="M30" s="110"/>
      <c r="N30" s="110">
        <v>2325</v>
      </c>
      <c r="O30" s="110"/>
      <c r="P30" s="110">
        <v>3570</v>
      </c>
      <c r="Q30" s="136"/>
      <c r="R30" s="136"/>
    </row>
    <row r="31" spans="1:18" x14ac:dyDescent="0.2">
      <c r="A31" s="107" t="s">
        <v>21</v>
      </c>
      <c r="B31" s="110" t="s">
        <v>28</v>
      </c>
      <c r="C31" s="110" t="s">
        <v>28</v>
      </c>
      <c r="D31" s="110">
        <v>18</v>
      </c>
      <c r="E31" s="110">
        <v>101</v>
      </c>
      <c r="F31" s="110" t="s">
        <v>28</v>
      </c>
      <c r="G31" s="110" t="s">
        <v>28</v>
      </c>
      <c r="H31" s="110">
        <v>5407.8130000000001</v>
      </c>
      <c r="I31" s="110">
        <v>30584</v>
      </c>
      <c r="J31" s="110">
        <v>12</v>
      </c>
      <c r="K31" s="110">
        <v>50</v>
      </c>
      <c r="L31" s="110">
        <v>297</v>
      </c>
      <c r="M31" s="110"/>
      <c r="N31" s="110">
        <v>9532</v>
      </c>
      <c r="O31" s="110"/>
      <c r="P31" s="110">
        <v>40564</v>
      </c>
      <c r="Q31" s="136"/>
      <c r="R31" s="136"/>
    </row>
    <row r="32" spans="1:18" x14ac:dyDescent="0.2">
      <c r="A32" s="107" t="s">
        <v>22</v>
      </c>
      <c r="B32" s="110">
        <v>10</v>
      </c>
      <c r="C32" s="110">
        <v>2</v>
      </c>
      <c r="D32" s="110" t="s">
        <v>28</v>
      </c>
      <c r="E32" s="110" t="s">
        <v>28</v>
      </c>
      <c r="F32" s="110">
        <v>1247</v>
      </c>
      <c r="G32" s="110">
        <v>1128</v>
      </c>
      <c r="H32" s="110">
        <v>14116.33</v>
      </c>
      <c r="I32" s="110">
        <v>16686</v>
      </c>
      <c r="J32" s="110">
        <v>1153</v>
      </c>
      <c r="K32" s="110">
        <v>1211</v>
      </c>
      <c r="L32" s="110">
        <v>87</v>
      </c>
      <c r="M32" s="110"/>
      <c r="N32" s="110">
        <v>294</v>
      </c>
      <c r="O32" s="110"/>
      <c r="P32" s="110">
        <v>19408</v>
      </c>
      <c r="Q32" s="136"/>
      <c r="R32" s="136"/>
    </row>
    <row r="33" spans="1:18" x14ac:dyDescent="0.2">
      <c r="A33" s="107" t="s">
        <v>23</v>
      </c>
      <c r="B33" s="110" t="s">
        <v>28</v>
      </c>
      <c r="C33" s="110" t="s">
        <v>28</v>
      </c>
      <c r="D33" s="110" t="s">
        <v>28</v>
      </c>
      <c r="E33" s="110" t="s">
        <v>28</v>
      </c>
      <c r="F33" s="110" t="s">
        <v>28</v>
      </c>
      <c r="G33" s="110" t="s">
        <v>28</v>
      </c>
      <c r="H33" s="110">
        <v>714.05</v>
      </c>
      <c r="I33" s="110">
        <v>4060</v>
      </c>
      <c r="J33" s="110">
        <v>153</v>
      </c>
      <c r="K33" s="110">
        <v>236</v>
      </c>
      <c r="L33" s="110">
        <v>130</v>
      </c>
      <c r="M33" s="110"/>
      <c r="N33" s="110">
        <v>790</v>
      </c>
      <c r="O33" s="110"/>
      <c r="P33" s="110">
        <v>5216</v>
      </c>
      <c r="Q33" s="136"/>
      <c r="R33" s="136"/>
    </row>
    <row r="34" spans="1:18" x14ac:dyDescent="0.2">
      <c r="A34" s="107" t="s">
        <v>24</v>
      </c>
      <c r="B34" s="110" t="s">
        <v>28</v>
      </c>
      <c r="C34" s="110" t="s">
        <v>28</v>
      </c>
      <c r="D34" s="110">
        <v>6</v>
      </c>
      <c r="E34" s="110">
        <v>3</v>
      </c>
      <c r="F34" s="110" t="s">
        <v>28</v>
      </c>
      <c r="G34" s="110" t="s">
        <v>28</v>
      </c>
      <c r="H34" s="110">
        <v>5380.4440000000004</v>
      </c>
      <c r="I34" s="110">
        <v>8658</v>
      </c>
      <c r="J34" s="110">
        <v>1473</v>
      </c>
      <c r="K34" s="110">
        <v>239</v>
      </c>
      <c r="L34" s="110">
        <v>163</v>
      </c>
      <c r="M34" s="110"/>
      <c r="N34" s="110">
        <v>3364</v>
      </c>
      <c r="O34" s="110"/>
      <c r="P34" s="110">
        <v>12427</v>
      </c>
      <c r="Q34" s="136"/>
      <c r="R34" s="136"/>
    </row>
    <row r="35" spans="1:18" x14ac:dyDescent="0.2">
      <c r="A35" s="107" t="s">
        <v>25</v>
      </c>
      <c r="B35" s="110" t="s">
        <v>28</v>
      </c>
      <c r="C35" s="110" t="s">
        <v>28</v>
      </c>
      <c r="D35" s="110" t="s">
        <v>28</v>
      </c>
      <c r="E35" s="110" t="s">
        <v>28</v>
      </c>
      <c r="F35" s="110" t="s">
        <v>28</v>
      </c>
      <c r="G35" s="110" t="s">
        <v>28</v>
      </c>
      <c r="H35" s="110">
        <v>243.92599999999999</v>
      </c>
      <c r="I35" s="110">
        <v>1212</v>
      </c>
      <c r="J35" s="110" t="s">
        <v>28</v>
      </c>
      <c r="K35" s="110" t="s">
        <v>28</v>
      </c>
      <c r="L35" s="110">
        <v>43</v>
      </c>
      <c r="M35" s="110"/>
      <c r="N35" s="110">
        <v>111</v>
      </c>
      <c r="O35" s="110"/>
      <c r="P35" s="110">
        <v>1366</v>
      </c>
      <c r="Q35" s="136"/>
      <c r="R35" s="136"/>
    </row>
    <row r="36" spans="1:18" x14ac:dyDescent="0.2">
      <c r="A36" s="107" t="s">
        <v>26</v>
      </c>
      <c r="B36" s="110" t="s">
        <v>28</v>
      </c>
      <c r="C36" s="110" t="s">
        <v>28</v>
      </c>
      <c r="D36" s="110">
        <v>1</v>
      </c>
      <c r="E36" s="110">
        <v>19</v>
      </c>
      <c r="F36" s="110" t="s">
        <v>28</v>
      </c>
      <c r="G36" s="110" t="s">
        <v>28</v>
      </c>
      <c r="H36" s="110">
        <v>3665.431</v>
      </c>
      <c r="I36" s="110">
        <v>6967</v>
      </c>
      <c r="J36" s="110">
        <v>723</v>
      </c>
      <c r="K36" s="110">
        <v>845</v>
      </c>
      <c r="L36" s="110">
        <v>6178</v>
      </c>
      <c r="M36" s="110"/>
      <c r="N36" s="110">
        <v>5774</v>
      </c>
      <c r="O36" s="110"/>
      <c r="P36" s="110">
        <v>19783</v>
      </c>
      <c r="Q36" s="136"/>
      <c r="R36" s="136"/>
    </row>
    <row r="37" spans="1:18" x14ac:dyDescent="0.2">
      <c r="A37" s="107" t="s">
        <v>95</v>
      </c>
      <c r="B37" s="110">
        <v>631</v>
      </c>
      <c r="C37" s="110">
        <v>866</v>
      </c>
      <c r="D37" s="110">
        <v>3899</v>
      </c>
      <c r="E37" s="110">
        <v>4621</v>
      </c>
      <c r="F37" s="110">
        <v>2405</v>
      </c>
      <c r="G37" s="110">
        <v>3285</v>
      </c>
      <c r="H37" s="110">
        <v>18564.508999999998</v>
      </c>
      <c r="I37" s="110">
        <v>33857</v>
      </c>
      <c r="J37" s="110">
        <v>3262</v>
      </c>
      <c r="K37" s="110">
        <v>2672</v>
      </c>
      <c r="L37" s="110">
        <v>1304</v>
      </c>
      <c r="M37" s="110"/>
      <c r="N37" s="110">
        <v>26168</v>
      </c>
      <c r="O37" s="110"/>
      <c r="P37" s="110">
        <v>72773</v>
      </c>
      <c r="Q37" s="136"/>
      <c r="R37" s="136"/>
    </row>
    <row r="38" spans="1:18" x14ac:dyDescent="0.2">
      <c r="A38" s="107" t="s">
        <v>107</v>
      </c>
      <c r="B38" s="110" t="s">
        <v>28</v>
      </c>
      <c r="C38" s="110" t="s">
        <v>28</v>
      </c>
      <c r="D38" s="110" t="s">
        <v>28</v>
      </c>
      <c r="E38" s="110" t="s">
        <v>28</v>
      </c>
      <c r="F38" s="110" t="s">
        <v>28</v>
      </c>
      <c r="G38" s="110" t="s">
        <v>28</v>
      </c>
      <c r="H38" s="110">
        <v>1678.29</v>
      </c>
      <c r="I38" s="110">
        <v>2568</v>
      </c>
      <c r="J38" s="110">
        <v>16</v>
      </c>
      <c r="K38" s="110">
        <v>26</v>
      </c>
      <c r="L38" s="110">
        <v>22572</v>
      </c>
      <c r="M38" s="110"/>
      <c r="N38" s="110">
        <v>4353</v>
      </c>
      <c r="O38" s="110"/>
      <c r="P38" s="110">
        <v>29519</v>
      </c>
      <c r="Q38" s="136"/>
      <c r="R38" s="136"/>
    </row>
    <row r="39" spans="1:18" x14ac:dyDescent="0.2">
      <c r="A39" s="107" t="s">
        <v>75</v>
      </c>
      <c r="B39" s="110">
        <v>969</v>
      </c>
      <c r="C39" s="110">
        <v>867</v>
      </c>
      <c r="D39" s="110">
        <v>6896</v>
      </c>
      <c r="E39" s="110">
        <v>7668</v>
      </c>
      <c r="F39" s="110">
        <v>1731</v>
      </c>
      <c r="G39" s="110">
        <v>1761</v>
      </c>
      <c r="H39" s="110">
        <v>1646.4380000000001</v>
      </c>
      <c r="I39" s="110">
        <v>3709</v>
      </c>
      <c r="J39" s="110">
        <v>16411</v>
      </c>
      <c r="K39" s="110">
        <v>11015</v>
      </c>
      <c r="L39" s="110">
        <v>2838</v>
      </c>
      <c r="M39" s="110"/>
      <c r="N39" s="110">
        <v>22304</v>
      </c>
      <c r="O39" s="110"/>
      <c r="P39" s="110">
        <v>50162</v>
      </c>
      <c r="Q39" s="136"/>
      <c r="R39" s="136"/>
    </row>
    <row r="40" spans="1:18" x14ac:dyDescent="0.2">
      <c r="A40" s="113" t="s">
        <v>27</v>
      </c>
      <c r="B40" s="114">
        <v>3211</v>
      </c>
      <c r="C40" s="114">
        <v>3190</v>
      </c>
      <c r="D40" s="114">
        <v>42663</v>
      </c>
      <c r="E40" s="114">
        <v>54594</v>
      </c>
      <c r="F40" s="114">
        <v>20228</v>
      </c>
      <c r="G40" s="114">
        <v>21070</v>
      </c>
      <c r="H40" s="114">
        <v>459644.34700000001</v>
      </c>
      <c r="I40" s="114">
        <v>691944</v>
      </c>
      <c r="J40" s="114">
        <v>65330</v>
      </c>
      <c r="K40" s="114">
        <v>42058</v>
      </c>
      <c r="L40" s="114">
        <v>203487</v>
      </c>
      <c r="M40" s="145" t="s">
        <v>227</v>
      </c>
      <c r="N40" s="114">
        <v>428070</v>
      </c>
      <c r="O40" s="145" t="s">
        <v>227</v>
      </c>
      <c r="P40" s="114">
        <v>1444413</v>
      </c>
      <c r="Q40" s="145" t="s">
        <v>227</v>
      </c>
      <c r="R40" s="136"/>
    </row>
    <row r="41" spans="1:18" x14ac:dyDescent="0.2">
      <c r="E41" s="97"/>
    </row>
    <row r="42" spans="1:18" x14ac:dyDescent="0.2">
      <c r="A42" s="116" t="s">
        <v>48</v>
      </c>
      <c r="G42" s="97"/>
    </row>
    <row r="43" spans="1:18" x14ac:dyDescent="0.2">
      <c r="A43" s="117" t="s">
        <v>106</v>
      </c>
    </row>
    <row r="44" spans="1:18" x14ac:dyDescent="0.2">
      <c r="A44" s="117"/>
    </row>
    <row r="45" spans="1:18" x14ac:dyDescent="0.2">
      <c r="A45" s="108" t="s">
        <v>37</v>
      </c>
    </row>
    <row r="46" spans="1:18" x14ac:dyDescent="0.2">
      <c r="A46" s="118" t="s">
        <v>104</v>
      </c>
    </row>
    <row r="47" spans="1:18" x14ac:dyDescent="0.2">
      <c r="A47" s="118" t="s">
        <v>55</v>
      </c>
    </row>
    <row r="48" spans="1:18" x14ac:dyDescent="0.2">
      <c r="A48" s="118" t="s">
        <v>56</v>
      </c>
    </row>
    <row r="49" spans="1:1" x14ac:dyDescent="0.2">
      <c r="A49" s="118" t="s">
        <v>67</v>
      </c>
    </row>
    <row r="50" spans="1:1" x14ac:dyDescent="0.2">
      <c r="A50" s="118" t="s">
        <v>68</v>
      </c>
    </row>
    <row r="51" spans="1:1" x14ac:dyDescent="0.2">
      <c r="A51" s="118" t="s">
        <v>72</v>
      </c>
    </row>
    <row r="52" spans="1:1" x14ac:dyDescent="0.2">
      <c r="A52" s="118" t="s">
        <v>73</v>
      </c>
    </row>
    <row r="53" spans="1:1" x14ac:dyDescent="0.2">
      <c r="A53" s="118" t="s">
        <v>74</v>
      </c>
    </row>
    <row r="54" spans="1:1" x14ac:dyDescent="0.2">
      <c r="A54" s="119"/>
    </row>
    <row r="55" spans="1:1" x14ac:dyDescent="0.2">
      <c r="A55" s="108" t="s">
        <v>50</v>
      </c>
    </row>
    <row r="56" spans="1:1" x14ac:dyDescent="0.2">
      <c r="A56" s="120" t="s">
        <v>105</v>
      </c>
    </row>
  </sheetData>
  <mergeCells count="6">
    <mergeCell ref="J3:K3"/>
    <mergeCell ref="A3:A5"/>
    <mergeCell ref="B3:C3"/>
    <mergeCell ref="D3:E3"/>
    <mergeCell ref="F3:G3"/>
    <mergeCell ref="H3:I3"/>
  </mergeCells>
  <pageMargins left="0.75" right="0.75" top="1" bottom="1" header="0.5" footer="0.5"/>
  <pageSetup paperSize="9" scale="73"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57"/>
  <sheetViews>
    <sheetView workbookViewId="0"/>
  </sheetViews>
  <sheetFormatPr defaultRowHeight="12.75" x14ac:dyDescent="0.2"/>
  <cols>
    <col min="1" max="1" width="21.28515625" style="105" customWidth="1"/>
    <col min="2" max="3" width="9.140625" style="105"/>
    <col min="4" max="4" width="8.42578125" style="105" bestFit="1" customWidth="1"/>
    <col min="5" max="5" width="7.7109375" style="105" bestFit="1" customWidth="1"/>
    <col min="6" max="6" width="9.140625" style="105"/>
    <col min="7" max="7" width="7.7109375" style="105" bestFit="1" customWidth="1"/>
    <col min="8" max="8" width="9.140625" style="105"/>
    <col min="9" max="9" width="7.7109375" style="105" bestFit="1" customWidth="1"/>
    <col min="10" max="10" width="9.140625" style="105"/>
    <col min="11" max="11" width="7.7109375" style="105" bestFit="1" customWidth="1"/>
    <col min="12" max="12" width="12.140625" style="105" customWidth="1"/>
    <col min="13" max="13" width="13" style="105" customWidth="1"/>
    <col min="14" max="14" width="11.7109375" style="105" customWidth="1"/>
    <col min="15" max="16384" width="9.140625" style="105"/>
  </cols>
  <sheetData>
    <row r="1" spans="1:16" ht="16.5" x14ac:dyDescent="0.2">
      <c r="A1" s="76" t="s">
        <v>112</v>
      </c>
    </row>
    <row r="3" spans="1:16" ht="28.5" customHeight="1" x14ac:dyDescent="0.2">
      <c r="A3" s="163" t="s">
        <v>38</v>
      </c>
      <c r="B3" s="165" t="s">
        <v>36</v>
      </c>
      <c r="C3" s="165"/>
      <c r="D3" s="168" t="s">
        <v>90</v>
      </c>
      <c r="E3" s="169"/>
      <c r="F3" s="165" t="s">
        <v>35</v>
      </c>
      <c r="G3" s="165"/>
      <c r="H3" s="165" t="s">
        <v>91</v>
      </c>
      <c r="I3" s="165"/>
      <c r="J3" s="165" t="s">
        <v>70</v>
      </c>
      <c r="K3" s="165"/>
      <c r="L3" s="106" t="s">
        <v>92</v>
      </c>
      <c r="M3" s="106" t="s">
        <v>71</v>
      </c>
      <c r="N3" s="106" t="s">
        <v>34</v>
      </c>
      <c r="O3" s="107"/>
    </row>
    <row r="4" spans="1:16" x14ac:dyDescent="0.2">
      <c r="A4" s="163"/>
      <c r="B4" s="108" t="s">
        <v>59</v>
      </c>
      <c r="C4" s="108" t="s">
        <v>57</v>
      </c>
      <c r="D4" s="108" t="s">
        <v>69</v>
      </c>
      <c r="E4" s="108" t="s">
        <v>57</v>
      </c>
      <c r="F4" s="108" t="s">
        <v>58</v>
      </c>
      <c r="G4" s="108" t="s">
        <v>57</v>
      </c>
      <c r="H4" s="108" t="s">
        <v>58</v>
      </c>
      <c r="I4" s="108" t="s">
        <v>57</v>
      </c>
      <c r="J4" s="108" t="s">
        <v>58</v>
      </c>
      <c r="K4" s="108" t="s">
        <v>57</v>
      </c>
      <c r="L4" s="108" t="s">
        <v>57</v>
      </c>
      <c r="M4" s="108" t="s">
        <v>57</v>
      </c>
      <c r="N4" s="108" t="s">
        <v>57</v>
      </c>
      <c r="O4" s="107"/>
    </row>
    <row r="5" spans="1:16" x14ac:dyDescent="0.2">
      <c r="A5" s="164"/>
      <c r="B5" s="109" t="s">
        <v>60</v>
      </c>
      <c r="C5" s="109" t="s">
        <v>61</v>
      </c>
      <c r="D5" s="109" t="s">
        <v>62</v>
      </c>
      <c r="E5" s="109" t="s">
        <v>61</v>
      </c>
      <c r="F5" s="109" t="s">
        <v>63</v>
      </c>
      <c r="G5" s="109" t="s">
        <v>61</v>
      </c>
      <c r="H5" s="109" t="s">
        <v>63</v>
      </c>
      <c r="I5" s="109" t="s">
        <v>61</v>
      </c>
      <c r="J5" s="109" t="s">
        <v>64</v>
      </c>
      <c r="K5" s="109" t="s">
        <v>61</v>
      </c>
      <c r="L5" s="109" t="s">
        <v>61</v>
      </c>
      <c r="M5" s="109" t="s">
        <v>61</v>
      </c>
      <c r="N5" s="109" t="s">
        <v>61</v>
      </c>
      <c r="O5" s="107"/>
    </row>
    <row r="6" spans="1:16" x14ac:dyDescent="0.2">
      <c r="A6" s="107" t="s">
        <v>0</v>
      </c>
      <c r="B6" s="110">
        <v>2376</v>
      </c>
      <c r="C6" s="110">
        <v>1591</v>
      </c>
      <c r="D6" s="110">
        <v>5660</v>
      </c>
      <c r="E6" s="110">
        <v>7416</v>
      </c>
      <c r="F6" s="110">
        <v>130</v>
      </c>
      <c r="G6" s="110">
        <v>186</v>
      </c>
      <c r="H6" s="110">
        <v>181543.45699999999</v>
      </c>
      <c r="I6" s="110">
        <v>239597</v>
      </c>
      <c r="J6" s="110">
        <v>5963</v>
      </c>
      <c r="K6" s="110">
        <v>4774</v>
      </c>
      <c r="L6" s="110">
        <v>5105</v>
      </c>
      <c r="M6" s="110">
        <v>147263</v>
      </c>
      <c r="N6" s="110">
        <v>405931</v>
      </c>
      <c r="O6" s="111"/>
      <c r="P6" s="112"/>
    </row>
    <row r="7" spans="1:16" x14ac:dyDescent="0.2">
      <c r="A7" s="107" t="s">
        <v>1</v>
      </c>
      <c r="B7" s="110" t="s">
        <v>28</v>
      </c>
      <c r="C7" s="110" t="s">
        <v>28</v>
      </c>
      <c r="D7" s="110">
        <v>3</v>
      </c>
      <c r="E7" s="110">
        <v>9</v>
      </c>
      <c r="F7" s="110" t="s">
        <v>28</v>
      </c>
      <c r="G7" s="110" t="s">
        <v>28</v>
      </c>
      <c r="H7" s="110">
        <v>1604.5039999999999</v>
      </c>
      <c r="I7" s="110">
        <v>4182</v>
      </c>
      <c r="J7" s="110">
        <v>679</v>
      </c>
      <c r="K7" s="110">
        <v>918</v>
      </c>
      <c r="L7" s="110">
        <v>251</v>
      </c>
      <c r="M7" s="110">
        <v>483</v>
      </c>
      <c r="N7" s="110">
        <v>5844</v>
      </c>
      <c r="O7" s="111"/>
      <c r="P7" s="112"/>
    </row>
    <row r="8" spans="1:16" x14ac:dyDescent="0.2">
      <c r="A8" s="107" t="s">
        <v>2</v>
      </c>
      <c r="B8" s="110" t="s">
        <v>28</v>
      </c>
      <c r="C8" s="110" t="s">
        <v>28</v>
      </c>
      <c r="D8" s="110" t="s">
        <v>28</v>
      </c>
      <c r="E8" s="110" t="s">
        <v>28</v>
      </c>
      <c r="F8" s="110" t="s">
        <v>28</v>
      </c>
      <c r="G8" s="110" t="s">
        <v>28</v>
      </c>
      <c r="H8" s="110">
        <v>1127.2619999999999</v>
      </c>
      <c r="I8" s="110">
        <v>3482</v>
      </c>
      <c r="J8" s="110">
        <v>926</v>
      </c>
      <c r="K8" s="110">
        <v>1307</v>
      </c>
      <c r="L8" s="110">
        <v>88</v>
      </c>
      <c r="M8" s="110">
        <v>3431</v>
      </c>
      <c r="N8" s="110">
        <v>8309</v>
      </c>
      <c r="O8" s="111"/>
      <c r="P8" s="112"/>
    </row>
    <row r="9" spans="1:16" x14ac:dyDescent="0.2">
      <c r="A9" s="107" t="s">
        <v>3</v>
      </c>
      <c r="B9" s="110" t="s">
        <v>28</v>
      </c>
      <c r="C9" s="110" t="s">
        <v>28</v>
      </c>
      <c r="D9" s="110">
        <v>368</v>
      </c>
      <c r="E9" s="110">
        <v>292</v>
      </c>
      <c r="F9" s="110" t="s">
        <v>28</v>
      </c>
      <c r="G9" s="110" t="s">
        <v>28</v>
      </c>
      <c r="H9" s="110">
        <v>274.01400000000001</v>
      </c>
      <c r="I9" s="110">
        <v>575</v>
      </c>
      <c r="J9" s="110">
        <v>1392</v>
      </c>
      <c r="K9" s="110">
        <v>722</v>
      </c>
      <c r="L9" s="110">
        <v>121</v>
      </c>
      <c r="M9" s="110">
        <v>384</v>
      </c>
      <c r="N9" s="110">
        <v>2095</v>
      </c>
      <c r="O9" s="111"/>
      <c r="P9" s="112"/>
    </row>
    <row r="10" spans="1:16" x14ac:dyDescent="0.2">
      <c r="A10" s="107" t="s">
        <v>86</v>
      </c>
      <c r="B10" s="110" t="s">
        <v>28</v>
      </c>
      <c r="C10" s="110" t="s">
        <v>28</v>
      </c>
      <c r="D10" s="110">
        <v>1</v>
      </c>
      <c r="E10" s="110">
        <v>2</v>
      </c>
      <c r="F10" s="110" t="s">
        <v>28</v>
      </c>
      <c r="G10" s="110" t="s">
        <v>28</v>
      </c>
      <c r="H10" s="110">
        <v>3073.4189999999999</v>
      </c>
      <c r="I10" s="110">
        <v>7885</v>
      </c>
      <c r="J10" s="110">
        <v>65</v>
      </c>
      <c r="K10" s="110">
        <v>373</v>
      </c>
      <c r="L10" s="110">
        <v>819</v>
      </c>
      <c r="M10" s="110">
        <v>6437</v>
      </c>
      <c r="N10" s="110">
        <v>15517</v>
      </c>
      <c r="O10" s="111"/>
      <c r="P10" s="112"/>
    </row>
    <row r="11" spans="1:16" x14ac:dyDescent="0.2">
      <c r="A11" s="107" t="s">
        <v>4</v>
      </c>
      <c r="B11" s="110">
        <v>28</v>
      </c>
      <c r="C11" s="110">
        <v>34</v>
      </c>
      <c r="D11" s="110">
        <v>12657</v>
      </c>
      <c r="E11" s="110">
        <v>18141</v>
      </c>
      <c r="F11" s="110">
        <v>17871</v>
      </c>
      <c r="G11" s="110">
        <v>16052</v>
      </c>
      <c r="H11" s="110">
        <v>1863.8440000000001</v>
      </c>
      <c r="I11" s="110">
        <v>3760</v>
      </c>
      <c r="J11" s="110">
        <v>325</v>
      </c>
      <c r="K11" s="110">
        <v>285</v>
      </c>
      <c r="L11" s="110">
        <v>44</v>
      </c>
      <c r="M11" s="110">
        <v>3666</v>
      </c>
      <c r="N11" s="110">
        <v>41982</v>
      </c>
      <c r="O11" s="111"/>
      <c r="P11" s="112"/>
    </row>
    <row r="12" spans="1:16" x14ac:dyDescent="0.2">
      <c r="A12" s="107" t="s">
        <v>40</v>
      </c>
      <c r="B12" s="110" t="s">
        <v>28</v>
      </c>
      <c r="C12" s="110" t="s">
        <v>28</v>
      </c>
      <c r="D12" s="110">
        <v>341</v>
      </c>
      <c r="E12" s="110">
        <v>252</v>
      </c>
      <c r="F12" s="110" t="s">
        <v>28</v>
      </c>
      <c r="G12" s="110" t="s">
        <v>28</v>
      </c>
      <c r="H12" s="110">
        <v>36631.658000000003</v>
      </c>
      <c r="I12" s="110">
        <v>55761</v>
      </c>
      <c r="J12" s="110">
        <v>15954</v>
      </c>
      <c r="K12" s="110">
        <v>7461</v>
      </c>
      <c r="L12" s="110">
        <v>107149</v>
      </c>
      <c r="M12" s="110">
        <v>61785</v>
      </c>
      <c r="N12" s="110">
        <v>232408</v>
      </c>
      <c r="O12" s="111"/>
      <c r="P12" s="112"/>
    </row>
    <row r="13" spans="1:16" x14ac:dyDescent="0.2">
      <c r="A13" s="107" t="s">
        <v>5</v>
      </c>
      <c r="B13" s="110" t="s">
        <v>28</v>
      </c>
      <c r="C13" s="110" t="s">
        <v>28</v>
      </c>
      <c r="D13" s="110" t="s">
        <v>28</v>
      </c>
      <c r="E13" s="110" t="s">
        <v>28</v>
      </c>
      <c r="F13" s="110" t="s">
        <v>28</v>
      </c>
      <c r="G13" s="110" t="s">
        <v>28</v>
      </c>
      <c r="H13" s="110">
        <v>1.3069999999999999</v>
      </c>
      <c r="I13" s="110">
        <v>27</v>
      </c>
      <c r="J13" s="110" t="s">
        <v>28</v>
      </c>
      <c r="K13" s="110" t="s">
        <v>28</v>
      </c>
      <c r="L13" s="110">
        <v>468</v>
      </c>
      <c r="M13" s="110">
        <v>3321</v>
      </c>
      <c r="N13" s="110">
        <v>3817</v>
      </c>
      <c r="O13" s="111"/>
      <c r="P13" s="112"/>
    </row>
    <row r="14" spans="1:16" x14ac:dyDescent="0.2">
      <c r="A14" s="107" t="s">
        <v>6</v>
      </c>
      <c r="B14" s="110" t="s">
        <v>28</v>
      </c>
      <c r="C14" s="110" t="s">
        <v>28</v>
      </c>
      <c r="D14" s="110">
        <v>2357</v>
      </c>
      <c r="E14" s="110">
        <v>2452</v>
      </c>
      <c r="F14" s="110" t="s">
        <v>28</v>
      </c>
      <c r="G14" s="110" t="s">
        <v>28</v>
      </c>
      <c r="H14" s="110">
        <v>9.6940000000000008</v>
      </c>
      <c r="I14" s="110">
        <v>14</v>
      </c>
      <c r="J14" s="110">
        <v>287</v>
      </c>
      <c r="K14" s="110">
        <v>429</v>
      </c>
      <c r="L14" s="110">
        <v>201</v>
      </c>
      <c r="M14" s="110">
        <v>201</v>
      </c>
      <c r="N14" s="110">
        <v>3298</v>
      </c>
      <c r="O14" s="111"/>
      <c r="P14" s="112"/>
    </row>
    <row r="15" spans="1:16" x14ac:dyDescent="0.2">
      <c r="A15" s="107" t="s">
        <v>7</v>
      </c>
      <c r="B15" s="110">
        <v>1</v>
      </c>
      <c r="C15" s="110" t="s">
        <v>28</v>
      </c>
      <c r="D15" s="110" t="s">
        <v>28</v>
      </c>
      <c r="E15" s="110" t="s">
        <v>28</v>
      </c>
      <c r="F15" s="110" t="s">
        <v>28</v>
      </c>
      <c r="G15" s="110" t="s">
        <v>28</v>
      </c>
      <c r="H15" s="110">
        <v>17702.755000000001</v>
      </c>
      <c r="I15" s="110">
        <v>28547</v>
      </c>
      <c r="J15" s="110">
        <v>593</v>
      </c>
      <c r="K15" s="110">
        <v>877</v>
      </c>
      <c r="L15" s="110">
        <v>36</v>
      </c>
      <c r="M15" s="110">
        <v>1119</v>
      </c>
      <c r="N15" s="110">
        <v>30579</v>
      </c>
      <c r="O15" s="111"/>
      <c r="P15" s="112"/>
    </row>
    <row r="16" spans="1:16" x14ac:dyDescent="0.2">
      <c r="A16" s="107" t="s">
        <v>8</v>
      </c>
      <c r="B16" s="110" t="s">
        <v>28</v>
      </c>
      <c r="C16" s="110" t="s">
        <v>28</v>
      </c>
      <c r="D16" s="110">
        <v>222</v>
      </c>
      <c r="E16" s="110">
        <v>366</v>
      </c>
      <c r="F16" s="110" t="s">
        <v>28</v>
      </c>
      <c r="G16" s="110" t="s">
        <v>28</v>
      </c>
      <c r="H16" s="110">
        <v>1861.278</v>
      </c>
      <c r="I16" s="110">
        <v>6591</v>
      </c>
      <c r="J16" s="110">
        <v>19</v>
      </c>
      <c r="K16" s="110">
        <v>45</v>
      </c>
      <c r="L16" s="110">
        <v>777</v>
      </c>
      <c r="M16" s="110">
        <v>28436</v>
      </c>
      <c r="N16" s="110">
        <v>36215</v>
      </c>
      <c r="O16" s="111"/>
      <c r="P16" s="112"/>
    </row>
    <row r="17" spans="1:16" x14ac:dyDescent="0.2">
      <c r="A17" s="107" t="s">
        <v>9</v>
      </c>
      <c r="B17" s="110">
        <v>14</v>
      </c>
      <c r="C17" s="110">
        <v>26</v>
      </c>
      <c r="D17" s="110">
        <v>50</v>
      </c>
      <c r="E17" s="110">
        <v>94</v>
      </c>
      <c r="F17" s="110">
        <v>74</v>
      </c>
      <c r="G17" s="110">
        <v>116</v>
      </c>
      <c r="H17" s="110">
        <v>12466.6</v>
      </c>
      <c r="I17" s="110">
        <v>27781</v>
      </c>
      <c r="J17" s="110">
        <v>1367</v>
      </c>
      <c r="K17" s="110">
        <v>1032</v>
      </c>
      <c r="L17" s="110">
        <v>2470</v>
      </c>
      <c r="M17" s="110">
        <v>21820</v>
      </c>
      <c r="N17" s="110">
        <v>53339</v>
      </c>
      <c r="O17" s="111"/>
      <c r="P17" s="112"/>
    </row>
    <row r="18" spans="1:16" x14ac:dyDescent="0.2">
      <c r="A18" s="107" t="s">
        <v>41</v>
      </c>
      <c r="B18" s="110" t="s">
        <v>28</v>
      </c>
      <c r="C18" s="110" t="s">
        <v>28</v>
      </c>
      <c r="D18" s="110">
        <v>8</v>
      </c>
      <c r="E18" s="110">
        <v>26</v>
      </c>
      <c r="F18" s="110" t="s">
        <v>28</v>
      </c>
      <c r="G18" s="110" t="s">
        <v>28</v>
      </c>
      <c r="H18" s="110">
        <v>24.082999999999998</v>
      </c>
      <c r="I18" s="110">
        <v>113</v>
      </c>
      <c r="J18" s="110" t="s">
        <v>28</v>
      </c>
      <c r="K18" s="110" t="s">
        <v>28</v>
      </c>
      <c r="L18" s="110">
        <v>407</v>
      </c>
      <c r="M18" s="110">
        <v>1957</v>
      </c>
      <c r="N18" s="110">
        <v>2504</v>
      </c>
      <c r="O18" s="111"/>
      <c r="P18" s="112"/>
    </row>
    <row r="19" spans="1:16" x14ac:dyDescent="0.2">
      <c r="A19" s="107" t="s">
        <v>10</v>
      </c>
      <c r="B19" s="110" t="s">
        <v>28</v>
      </c>
      <c r="C19" s="110" t="s">
        <v>28</v>
      </c>
      <c r="D19" s="110">
        <v>7</v>
      </c>
      <c r="E19" s="110">
        <v>36</v>
      </c>
      <c r="F19" s="110" t="s">
        <v>28</v>
      </c>
      <c r="G19" s="110" t="s">
        <v>28</v>
      </c>
      <c r="H19" s="110">
        <v>230.75299999999999</v>
      </c>
      <c r="I19" s="110">
        <v>552</v>
      </c>
      <c r="J19" s="110">
        <v>99</v>
      </c>
      <c r="K19" s="110">
        <v>111</v>
      </c>
      <c r="L19" s="110">
        <v>1215</v>
      </c>
      <c r="M19" s="110">
        <v>1605</v>
      </c>
      <c r="N19" s="110">
        <v>3519</v>
      </c>
      <c r="O19" s="111"/>
      <c r="P19" s="112"/>
    </row>
    <row r="20" spans="1:16" x14ac:dyDescent="0.2">
      <c r="A20" s="107" t="s">
        <v>11</v>
      </c>
      <c r="B20" s="110" t="s">
        <v>28</v>
      </c>
      <c r="C20" s="110" t="s">
        <v>28</v>
      </c>
      <c r="D20" s="110">
        <v>3701</v>
      </c>
      <c r="E20" s="110">
        <v>6761</v>
      </c>
      <c r="F20" s="110" t="s">
        <v>28</v>
      </c>
      <c r="G20" s="110" t="s">
        <v>28</v>
      </c>
      <c r="H20" s="110">
        <v>31599.508000000002</v>
      </c>
      <c r="I20" s="110">
        <v>42807</v>
      </c>
      <c r="J20" s="110">
        <v>1301</v>
      </c>
      <c r="K20" s="110">
        <v>1663</v>
      </c>
      <c r="L20" s="110">
        <v>9629</v>
      </c>
      <c r="M20" s="110">
        <v>18025</v>
      </c>
      <c r="N20" s="110">
        <v>78885</v>
      </c>
      <c r="O20" s="111"/>
      <c r="P20" s="112"/>
    </row>
    <row r="21" spans="1:16" x14ac:dyDescent="0.2">
      <c r="A21" s="107" t="s">
        <v>12</v>
      </c>
      <c r="B21" s="110">
        <v>103</v>
      </c>
      <c r="C21" s="110">
        <v>511</v>
      </c>
      <c r="D21" s="110">
        <v>162</v>
      </c>
      <c r="E21" s="110">
        <v>293</v>
      </c>
      <c r="F21" s="110" t="s">
        <v>28</v>
      </c>
      <c r="G21" s="110" t="s">
        <v>28</v>
      </c>
      <c r="H21" s="110">
        <v>2500.1680000000001</v>
      </c>
      <c r="I21" s="110">
        <v>5212</v>
      </c>
      <c r="J21" s="110">
        <v>3163</v>
      </c>
      <c r="K21" s="110">
        <v>1648</v>
      </c>
      <c r="L21" s="110">
        <v>4680</v>
      </c>
      <c r="M21" s="110">
        <v>5662</v>
      </c>
      <c r="N21" s="110">
        <v>18005</v>
      </c>
      <c r="O21" s="111"/>
      <c r="P21" s="112"/>
    </row>
    <row r="22" spans="1:16" x14ac:dyDescent="0.2">
      <c r="A22" s="107" t="s">
        <v>13</v>
      </c>
      <c r="B22" s="110" t="s">
        <v>28</v>
      </c>
      <c r="C22" s="110" t="s">
        <v>28</v>
      </c>
      <c r="D22" s="110" t="s">
        <v>28</v>
      </c>
      <c r="E22" s="110" t="s">
        <v>28</v>
      </c>
      <c r="F22" s="110" t="s">
        <v>28</v>
      </c>
      <c r="G22" s="110" t="s">
        <v>28</v>
      </c>
      <c r="H22" s="110">
        <v>55627.822</v>
      </c>
      <c r="I22" s="110">
        <v>73157</v>
      </c>
      <c r="J22" s="110">
        <v>23</v>
      </c>
      <c r="K22" s="110">
        <v>12</v>
      </c>
      <c r="L22" s="110">
        <v>52</v>
      </c>
      <c r="M22" s="110">
        <v>1306</v>
      </c>
      <c r="N22" s="110">
        <v>74526</v>
      </c>
      <c r="O22" s="111"/>
      <c r="P22" s="112"/>
    </row>
    <row r="23" spans="1:16" x14ac:dyDescent="0.2">
      <c r="A23" s="107" t="s">
        <v>42</v>
      </c>
      <c r="B23" s="110" t="s">
        <v>28</v>
      </c>
      <c r="C23" s="110" t="s">
        <v>28</v>
      </c>
      <c r="D23" s="110">
        <v>1</v>
      </c>
      <c r="E23" s="110">
        <v>1</v>
      </c>
      <c r="F23" s="110" t="s">
        <v>28</v>
      </c>
      <c r="G23" s="110" t="s">
        <v>28</v>
      </c>
      <c r="H23" s="110">
        <v>27754.420999999998</v>
      </c>
      <c r="I23" s="110">
        <v>36401</v>
      </c>
      <c r="J23" s="110">
        <v>788</v>
      </c>
      <c r="K23" s="110">
        <v>37</v>
      </c>
      <c r="L23" s="110">
        <v>254</v>
      </c>
      <c r="M23" s="110">
        <v>2447</v>
      </c>
      <c r="N23" s="110">
        <v>39138</v>
      </c>
      <c r="O23" s="111"/>
      <c r="P23" s="112"/>
    </row>
    <row r="24" spans="1:16" x14ac:dyDescent="0.2">
      <c r="A24" s="107" t="s">
        <v>14</v>
      </c>
      <c r="B24" s="110" t="s">
        <v>28</v>
      </c>
      <c r="C24" s="110" t="s">
        <v>28</v>
      </c>
      <c r="D24" s="110">
        <v>309</v>
      </c>
      <c r="E24" s="110">
        <v>363</v>
      </c>
      <c r="F24" s="110" t="s">
        <v>28</v>
      </c>
      <c r="G24" s="110" t="s">
        <v>28</v>
      </c>
      <c r="H24" s="110">
        <v>6985.38</v>
      </c>
      <c r="I24" s="110">
        <v>8332</v>
      </c>
      <c r="J24" s="110">
        <v>1434</v>
      </c>
      <c r="K24" s="110">
        <v>1836</v>
      </c>
      <c r="L24" s="110">
        <v>20482</v>
      </c>
      <c r="M24" s="110">
        <v>18090</v>
      </c>
      <c r="N24" s="110">
        <v>49103</v>
      </c>
      <c r="O24" s="111"/>
      <c r="P24" s="112"/>
    </row>
    <row r="25" spans="1:16" x14ac:dyDescent="0.2">
      <c r="A25" s="107" t="s">
        <v>15</v>
      </c>
      <c r="B25" s="110" t="s">
        <v>28</v>
      </c>
      <c r="C25" s="110" t="s">
        <v>28</v>
      </c>
      <c r="D25" s="110" t="s">
        <v>28</v>
      </c>
      <c r="E25" s="110" t="s">
        <v>28</v>
      </c>
      <c r="F25" s="110" t="s">
        <v>28</v>
      </c>
      <c r="G25" s="110" t="s">
        <v>28</v>
      </c>
      <c r="H25" s="110">
        <v>1.4999999999999999E-2</v>
      </c>
      <c r="I25" s="110">
        <v>87</v>
      </c>
      <c r="J25" s="110">
        <v>1</v>
      </c>
      <c r="K25" s="110">
        <v>32</v>
      </c>
      <c r="L25" s="110">
        <v>24</v>
      </c>
      <c r="M25" s="110">
        <v>1303</v>
      </c>
      <c r="N25" s="110">
        <v>1447</v>
      </c>
      <c r="O25" s="111"/>
      <c r="P25" s="112"/>
    </row>
    <row r="26" spans="1:16" x14ac:dyDescent="0.2">
      <c r="A26" s="107" t="s">
        <v>16</v>
      </c>
      <c r="B26" s="110" t="s">
        <v>28</v>
      </c>
      <c r="C26" s="110" t="s">
        <v>28</v>
      </c>
      <c r="D26" s="110">
        <v>1</v>
      </c>
      <c r="E26" s="110">
        <v>1</v>
      </c>
      <c r="F26" s="110" t="s">
        <v>28</v>
      </c>
      <c r="G26" s="110" t="s">
        <v>28</v>
      </c>
      <c r="H26" s="110">
        <v>814.61599999999999</v>
      </c>
      <c r="I26" s="110">
        <v>1811</v>
      </c>
      <c r="J26" s="110">
        <v>20</v>
      </c>
      <c r="K26" s="110">
        <v>26</v>
      </c>
      <c r="L26" s="110">
        <v>86</v>
      </c>
      <c r="M26" s="110">
        <v>3968</v>
      </c>
      <c r="N26" s="110">
        <v>5893</v>
      </c>
      <c r="O26" s="111"/>
      <c r="P26" s="112"/>
    </row>
    <row r="27" spans="1:16" x14ac:dyDescent="0.2">
      <c r="A27" s="107" t="s">
        <v>17</v>
      </c>
      <c r="B27" s="110" t="s">
        <v>28</v>
      </c>
      <c r="C27" s="110" t="s">
        <v>28</v>
      </c>
      <c r="D27" s="110" t="s">
        <v>28</v>
      </c>
      <c r="E27" s="110" t="s">
        <v>28</v>
      </c>
      <c r="F27" s="110" t="s">
        <v>28</v>
      </c>
      <c r="G27" s="110" t="s">
        <v>28</v>
      </c>
      <c r="H27" s="110">
        <v>9.2089999999999996</v>
      </c>
      <c r="I27" s="110">
        <v>19</v>
      </c>
      <c r="J27" s="110" t="s">
        <v>28</v>
      </c>
      <c r="K27" s="110" t="s">
        <v>28</v>
      </c>
      <c r="L27" s="110">
        <v>2017</v>
      </c>
      <c r="M27" s="110">
        <v>158</v>
      </c>
      <c r="N27" s="110">
        <v>2194</v>
      </c>
      <c r="O27" s="111"/>
      <c r="P27" s="112"/>
    </row>
    <row r="28" spans="1:16" x14ac:dyDescent="0.2">
      <c r="A28" s="107" t="s">
        <v>18</v>
      </c>
      <c r="B28" s="110" t="s">
        <v>28</v>
      </c>
      <c r="C28" s="110" t="s">
        <v>28</v>
      </c>
      <c r="D28" s="110">
        <v>615</v>
      </c>
      <c r="E28" s="110">
        <v>667</v>
      </c>
      <c r="F28" s="110" t="s">
        <v>28</v>
      </c>
      <c r="G28" s="110" t="s">
        <v>28</v>
      </c>
      <c r="H28" s="110" t="s">
        <v>28</v>
      </c>
      <c r="I28" s="110" t="s">
        <v>28</v>
      </c>
      <c r="J28" s="110">
        <v>2</v>
      </c>
      <c r="K28" s="110">
        <v>251</v>
      </c>
      <c r="L28" s="110" t="s">
        <v>28</v>
      </c>
      <c r="M28" s="110">
        <v>59</v>
      </c>
      <c r="N28" s="110">
        <v>976</v>
      </c>
      <c r="O28" s="111"/>
      <c r="P28" s="112"/>
    </row>
    <row r="29" spans="1:16" x14ac:dyDescent="0.2">
      <c r="A29" s="107" t="s">
        <v>19</v>
      </c>
      <c r="B29" s="110" t="s">
        <v>28</v>
      </c>
      <c r="C29" s="110" t="s">
        <v>28</v>
      </c>
      <c r="D29" s="110" t="s">
        <v>28</v>
      </c>
      <c r="E29" s="110" t="s">
        <v>28</v>
      </c>
      <c r="F29" s="110" t="s">
        <v>28</v>
      </c>
      <c r="G29" s="110" t="s">
        <v>28</v>
      </c>
      <c r="H29" s="110">
        <v>2E-3</v>
      </c>
      <c r="I29" s="110" t="s">
        <v>28</v>
      </c>
      <c r="J29" s="110" t="s">
        <v>28</v>
      </c>
      <c r="K29" s="110" t="s">
        <v>28</v>
      </c>
      <c r="L29" s="110">
        <v>429</v>
      </c>
      <c r="M29" s="110">
        <v>628</v>
      </c>
      <c r="N29" s="110">
        <v>1057</v>
      </c>
      <c r="O29" s="111"/>
      <c r="P29" s="112"/>
    </row>
    <row r="30" spans="1:16" x14ac:dyDescent="0.2">
      <c r="A30" s="107" t="s">
        <v>20</v>
      </c>
      <c r="B30" s="110" t="s">
        <v>28</v>
      </c>
      <c r="C30" s="110" t="s">
        <v>28</v>
      </c>
      <c r="D30" s="110" t="s">
        <v>28</v>
      </c>
      <c r="E30" s="110" t="s">
        <v>28</v>
      </c>
      <c r="F30" s="110" t="s">
        <v>28</v>
      </c>
      <c r="G30" s="110" t="s">
        <v>28</v>
      </c>
      <c r="H30" s="110">
        <v>485.92599999999999</v>
      </c>
      <c r="I30" s="110">
        <v>956</v>
      </c>
      <c r="J30" s="110">
        <v>564</v>
      </c>
      <c r="K30" s="110">
        <v>217</v>
      </c>
      <c r="L30" s="110">
        <v>2</v>
      </c>
      <c r="M30" s="110">
        <v>2023</v>
      </c>
      <c r="N30" s="110">
        <v>3198</v>
      </c>
      <c r="O30" s="111"/>
      <c r="P30" s="112"/>
    </row>
    <row r="31" spans="1:16" x14ac:dyDescent="0.2">
      <c r="A31" s="107" t="s">
        <v>21</v>
      </c>
      <c r="B31" s="110" t="s">
        <v>28</v>
      </c>
      <c r="C31" s="110" t="s">
        <v>28</v>
      </c>
      <c r="D31" s="110">
        <v>19</v>
      </c>
      <c r="E31" s="110">
        <v>37</v>
      </c>
      <c r="F31" s="110" t="s">
        <v>28</v>
      </c>
      <c r="G31" s="110" t="s">
        <v>28</v>
      </c>
      <c r="H31" s="110">
        <v>5109.1149999999998</v>
      </c>
      <c r="I31" s="110">
        <v>31214</v>
      </c>
      <c r="J31" s="110">
        <v>26</v>
      </c>
      <c r="K31" s="110">
        <v>28</v>
      </c>
      <c r="L31" s="110">
        <v>218</v>
      </c>
      <c r="M31" s="110">
        <v>8142</v>
      </c>
      <c r="N31" s="110">
        <v>39640</v>
      </c>
      <c r="O31" s="111"/>
      <c r="P31" s="112"/>
    </row>
    <row r="32" spans="1:16" x14ac:dyDescent="0.2">
      <c r="A32" s="107" t="s">
        <v>22</v>
      </c>
      <c r="B32" s="110" t="s">
        <v>28</v>
      </c>
      <c r="C32" s="110" t="s">
        <v>28</v>
      </c>
      <c r="D32" s="110" t="s">
        <v>28</v>
      </c>
      <c r="E32" s="110" t="s">
        <v>28</v>
      </c>
      <c r="F32" s="110" t="s">
        <v>28</v>
      </c>
      <c r="G32" s="110" t="s">
        <v>28</v>
      </c>
      <c r="H32" s="110">
        <v>22548.852999999999</v>
      </c>
      <c r="I32" s="110">
        <v>28013</v>
      </c>
      <c r="J32" s="110">
        <v>1172</v>
      </c>
      <c r="K32" s="110">
        <v>571</v>
      </c>
      <c r="L32" s="110">
        <v>46</v>
      </c>
      <c r="M32" s="110">
        <v>171</v>
      </c>
      <c r="N32" s="110">
        <v>28800</v>
      </c>
      <c r="O32" s="111"/>
      <c r="P32" s="112"/>
    </row>
    <row r="33" spans="1:16" x14ac:dyDescent="0.2">
      <c r="A33" s="107" t="s">
        <v>23</v>
      </c>
      <c r="B33" s="110" t="s">
        <v>28</v>
      </c>
      <c r="C33" s="110" t="s">
        <v>28</v>
      </c>
      <c r="D33" s="110" t="s">
        <v>28</v>
      </c>
      <c r="E33" s="110" t="s">
        <v>28</v>
      </c>
      <c r="F33" s="110" t="s">
        <v>28</v>
      </c>
      <c r="G33" s="110" t="s">
        <v>28</v>
      </c>
      <c r="H33" s="110">
        <v>528.07600000000002</v>
      </c>
      <c r="I33" s="110">
        <v>2949</v>
      </c>
      <c r="J33" s="110">
        <v>122</v>
      </c>
      <c r="K33" s="110">
        <v>227</v>
      </c>
      <c r="L33" s="110">
        <v>240</v>
      </c>
      <c r="M33" s="110">
        <v>1548</v>
      </c>
      <c r="N33" s="110">
        <v>4964</v>
      </c>
      <c r="O33" s="111"/>
      <c r="P33" s="112"/>
    </row>
    <row r="34" spans="1:16" x14ac:dyDescent="0.2">
      <c r="A34" s="107" t="s">
        <v>24</v>
      </c>
      <c r="B34" s="110" t="s">
        <v>28</v>
      </c>
      <c r="C34" s="110" t="s">
        <v>28</v>
      </c>
      <c r="D34" s="110" t="s">
        <v>28</v>
      </c>
      <c r="E34" s="110" t="s">
        <v>28</v>
      </c>
      <c r="F34" s="110" t="s">
        <v>28</v>
      </c>
      <c r="G34" s="110" t="s">
        <v>28</v>
      </c>
      <c r="H34" s="110">
        <v>3588.7069999999999</v>
      </c>
      <c r="I34" s="110">
        <v>6565</v>
      </c>
      <c r="J34" s="110">
        <v>1159</v>
      </c>
      <c r="K34" s="110">
        <v>281</v>
      </c>
      <c r="L34" s="110">
        <v>106</v>
      </c>
      <c r="M34" s="110">
        <v>4087</v>
      </c>
      <c r="N34" s="110">
        <v>11040</v>
      </c>
      <c r="O34" s="111"/>
      <c r="P34" s="112"/>
    </row>
    <row r="35" spans="1:16" x14ac:dyDescent="0.2">
      <c r="A35" s="107" t="s">
        <v>25</v>
      </c>
      <c r="B35" s="110" t="s">
        <v>28</v>
      </c>
      <c r="C35" s="110" t="s">
        <v>28</v>
      </c>
      <c r="D35" s="110">
        <v>9</v>
      </c>
      <c r="E35" s="110">
        <v>1</v>
      </c>
      <c r="F35" s="110" t="s">
        <v>28</v>
      </c>
      <c r="G35" s="110" t="s">
        <v>28</v>
      </c>
      <c r="H35" s="110">
        <v>222.68600000000001</v>
      </c>
      <c r="I35" s="110">
        <v>1057</v>
      </c>
      <c r="J35" s="110" t="s">
        <v>28</v>
      </c>
      <c r="K35" s="110">
        <v>13</v>
      </c>
      <c r="L35" s="110">
        <v>24</v>
      </c>
      <c r="M35" s="110">
        <v>229</v>
      </c>
      <c r="N35" s="110">
        <v>1324</v>
      </c>
      <c r="O35" s="111"/>
      <c r="P35" s="112"/>
    </row>
    <row r="36" spans="1:16" x14ac:dyDescent="0.2">
      <c r="A36" s="107" t="s">
        <v>26</v>
      </c>
      <c r="B36" s="110" t="s">
        <v>28</v>
      </c>
      <c r="C36" s="110" t="s">
        <v>28</v>
      </c>
      <c r="D36" s="110">
        <v>12</v>
      </c>
      <c r="E36" s="110">
        <v>258</v>
      </c>
      <c r="F36" s="110" t="s">
        <v>28</v>
      </c>
      <c r="G36" s="110" t="s">
        <v>28</v>
      </c>
      <c r="H36" s="110">
        <v>3846.942</v>
      </c>
      <c r="I36" s="110">
        <v>7063</v>
      </c>
      <c r="J36" s="110">
        <v>1593</v>
      </c>
      <c r="K36" s="110">
        <v>921</v>
      </c>
      <c r="L36" s="110">
        <v>6695</v>
      </c>
      <c r="M36" s="110">
        <v>5793</v>
      </c>
      <c r="N36" s="110">
        <v>20729</v>
      </c>
      <c r="O36" s="111"/>
      <c r="P36" s="112"/>
    </row>
    <row r="37" spans="1:16" x14ac:dyDescent="0.2">
      <c r="A37" s="107" t="s">
        <v>95</v>
      </c>
      <c r="B37" s="110">
        <v>503</v>
      </c>
      <c r="C37" s="110">
        <v>803</v>
      </c>
      <c r="D37" s="110">
        <v>3347</v>
      </c>
      <c r="E37" s="110">
        <v>3612</v>
      </c>
      <c r="F37" s="110">
        <v>2105</v>
      </c>
      <c r="G37" s="110">
        <v>2254</v>
      </c>
      <c r="H37" s="110">
        <v>17311.041000000001</v>
      </c>
      <c r="I37" s="110">
        <v>30230</v>
      </c>
      <c r="J37" s="110">
        <v>3803</v>
      </c>
      <c r="K37" s="110">
        <v>3491</v>
      </c>
      <c r="L37" s="110">
        <v>1072</v>
      </c>
      <c r="M37" s="110">
        <v>30901</v>
      </c>
      <c r="N37" s="110">
        <v>72363</v>
      </c>
      <c r="O37" s="111"/>
      <c r="P37" s="112"/>
    </row>
    <row r="38" spans="1:16" x14ac:dyDescent="0.2">
      <c r="A38" s="107" t="s">
        <v>46</v>
      </c>
      <c r="B38" s="110">
        <v>1</v>
      </c>
      <c r="C38" s="110">
        <v>1</v>
      </c>
      <c r="D38" s="110" t="s">
        <v>28</v>
      </c>
      <c r="E38" s="110" t="s">
        <v>28</v>
      </c>
      <c r="F38" s="110" t="s">
        <v>28</v>
      </c>
      <c r="G38" s="110" t="s">
        <v>28</v>
      </c>
      <c r="H38" s="110">
        <v>770.26700000000005</v>
      </c>
      <c r="I38" s="110">
        <v>1325</v>
      </c>
      <c r="J38" s="110" t="s">
        <v>28</v>
      </c>
      <c r="K38" s="110" t="s">
        <v>28</v>
      </c>
      <c r="L38" s="110">
        <v>22139</v>
      </c>
      <c r="M38" s="110">
        <v>3978</v>
      </c>
      <c r="N38" s="110">
        <v>27442</v>
      </c>
      <c r="O38" s="111"/>
      <c r="P38" s="112"/>
    </row>
    <row r="39" spans="1:16" x14ac:dyDescent="0.2">
      <c r="A39" s="107" t="s">
        <v>75</v>
      </c>
      <c r="B39" s="110">
        <v>820</v>
      </c>
      <c r="C39" s="110">
        <v>815</v>
      </c>
      <c r="D39" s="110">
        <v>6233</v>
      </c>
      <c r="E39" s="110">
        <v>7108</v>
      </c>
      <c r="F39" s="110" t="s">
        <v>28</v>
      </c>
      <c r="G39" s="110" t="s">
        <v>28</v>
      </c>
      <c r="H39" s="110">
        <v>1285.0160000000001</v>
      </c>
      <c r="I39" s="110">
        <v>3301</v>
      </c>
      <c r="J39" s="110">
        <v>6905</v>
      </c>
      <c r="K39" s="110">
        <v>4559</v>
      </c>
      <c r="L39" s="110">
        <v>2291</v>
      </c>
      <c r="M39" s="110">
        <v>21386</v>
      </c>
      <c r="N39" s="110">
        <v>39460</v>
      </c>
      <c r="O39" s="111"/>
      <c r="P39" s="112"/>
    </row>
    <row r="40" spans="1:16" x14ac:dyDescent="0.2">
      <c r="A40" s="113" t="s">
        <v>27</v>
      </c>
      <c r="B40" s="114">
        <v>3845</v>
      </c>
      <c r="C40" s="114">
        <v>3781</v>
      </c>
      <c r="D40" s="114">
        <v>36083</v>
      </c>
      <c r="E40" s="114">
        <v>48186</v>
      </c>
      <c r="F40" s="114">
        <v>20180</v>
      </c>
      <c r="G40" s="114">
        <v>18608</v>
      </c>
      <c r="H40" s="114">
        <v>439402.39899999998</v>
      </c>
      <c r="I40" s="114">
        <v>659367</v>
      </c>
      <c r="J40" s="114">
        <v>49746</v>
      </c>
      <c r="K40" s="114">
        <v>34146</v>
      </c>
      <c r="L40" s="114">
        <v>189638</v>
      </c>
      <c r="M40" s="114">
        <v>411814</v>
      </c>
      <c r="N40" s="114">
        <v>1365541</v>
      </c>
      <c r="O40" s="111"/>
      <c r="P40" s="112"/>
    </row>
    <row r="41" spans="1:16" x14ac:dyDescent="0.2">
      <c r="A41" s="107"/>
      <c r="B41" s="115"/>
      <c r="C41" s="115"/>
      <c r="D41" s="115"/>
      <c r="E41" s="115"/>
      <c r="F41" s="115"/>
      <c r="G41" s="115"/>
      <c r="H41" s="115"/>
      <c r="I41" s="115"/>
      <c r="J41" s="115"/>
      <c r="K41" s="115"/>
      <c r="L41" s="115"/>
      <c r="M41" s="115"/>
      <c r="N41" s="115"/>
      <c r="O41" s="107"/>
    </row>
    <row r="42" spans="1:16" x14ac:dyDescent="0.2">
      <c r="A42" s="116" t="s">
        <v>48</v>
      </c>
      <c r="B42" s="107"/>
      <c r="C42" s="107"/>
      <c r="D42" s="107"/>
      <c r="E42" s="107"/>
      <c r="F42" s="107"/>
      <c r="G42" s="107"/>
      <c r="H42" s="107"/>
      <c r="I42" s="107"/>
      <c r="J42" s="107"/>
      <c r="K42" s="107"/>
      <c r="L42" s="107"/>
      <c r="M42" s="107"/>
      <c r="N42" s="107"/>
      <c r="O42" s="107"/>
    </row>
    <row r="43" spans="1:16" x14ac:dyDescent="0.2">
      <c r="A43" s="117" t="s">
        <v>103</v>
      </c>
      <c r="B43" s="107"/>
      <c r="C43" s="107"/>
      <c r="D43" s="107"/>
      <c r="E43" s="107"/>
      <c r="F43" s="107"/>
      <c r="G43" s="107"/>
      <c r="H43" s="107"/>
      <c r="I43" s="107"/>
      <c r="J43" s="107"/>
      <c r="K43" s="107"/>
      <c r="L43" s="107"/>
      <c r="M43" s="107"/>
      <c r="N43" s="107"/>
      <c r="O43" s="107"/>
    </row>
    <row r="44" spans="1:16" x14ac:dyDescent="0.2">
      <c r="A44" s="117"/>
      <c r="B44" s="107"/>
      <c r="C44" s="107"/>
      <c r="D44" s="107"/>
      <c r="E44" s="107"/>
      <c r="F44" s="107"/>
      <c r="G44" s="107"/>
      <c r="H44" s="107"/>
      <c r="I44" s="107"/>
      <c r="J44" s="107"/>
      <c r="K44" s="107"/>
      <c r="L44" s="107"/>
      <c r="M44" s="107"/>
      <c r="N44" s="107"/>
      <c r="O44" s="107"/>
    </row>
    <row r="45" spans="1:16" x14ac:dyDescent="0.2">
      <c r="A45" s="108" t="s">
        <v>37</v>
      </c>
      <c r="B45" s="107"/>
      <c r="C45" s="107"/>
      <c r="D45" s="107"/>
      <c r="E45" s="107"/>
      <c r="F45" s="107"/>
      <c r="G45" s="107"/>
      <c r="H45" s="107"/>
      <c r="I45" s="107"/>
      <c r="J45" s="107"/>
      <c r="K45" s="107"/>
      <c r="L45" s="107"/>
      <c r="M45" s="107"/>
      <c r="N45" s="107"/>
      <c r="O45" s="107"/>
    </row>
    <row r="46" spans="1:16" x14ac:dyDescent="0.2">
      <c r="A46" s="118" t="s">
        <v>104</v>
      </c>
      <c r="B46" s="107"/>
      <c r="C46" s="107"/>
      <c r="D46" s="107"/>
      <c r="E46" s="107"/>
      <c r="F46" s="107"/>
      <c r="G46" s="107"/>
      <c r="H46" s="107"/>
      <c r="I46" s="107"/>
      <c r="J46" s="107"/>
      <c r="K46" s="107"/>
      <c r="L46" s="107"/>
      <c r="M46" s="107"/>
      <c r="N46" s="107"/>
      <c r="O46" s="107"/>
    </row>
    <row r="47" spans="1:16" x14ac:dyDescent="0.2">
      <c r="A47" s="118" t="s">
        <v>55</v>
      </c>
      <c r="B47" s="107"/>
      <c r="C47" s="107"/>
      <c r="D47" s="107"/>
      <c r="E47" s="107"/>
      <c r="F47" s="107"/>
      <c r="G47" s="107"/>
      <c r="H47" s="107"/>
      <c r="I47" s="107"/>
      <c r="J47" s="107"/>
      <c r="K47" s="107"/>
      <c r="L47" s="107"/>
      <c r="M47" s="107"/>
      <c r="N47" s="107"/>
      <c r="O47" s="107"/>
    </row>
    <row r="48" spans="1:16" x14ac:dyDescent="0.2">
      <c r="A48" s="118" t="s">
        <v>56</v>
      </c>
      <c r="B48" s="107"/>
      <c r="C48" s="107"/>
      <c r="D48" s="107"/>
      <c r="E48" s="107"/>
      <c r="F48" s="107"/>
      <c r="G48" s="107"/>
      <c r="H48" s="107"/>
      <c r="I48" s="107"/>
      <c r="J48" s="107"/>
      <c r="K48" s="107"/>
      <c r="L48" s="107"/>
      <c r="M48" s="107"/>
      <c r="N48" s="107"/>
      <c r="O48" s="107"/>
    </row>
    <row r="49" spans="1:1" x14ac:dyDescent="0.2">
      <c r="A49" s="118" t="s">
        <v>67</v>
      </c>
    </row>
    <row r="50" spans="1:1" x14ac:dyDescent="0.2">
      <c r="A50" s="118" t="s">
        <v>68</v>
      </c>
    </row>
    <row r="51" spans="1:1" x14ac:dyDescent="0.2">
      <c r="A51" s="118" t="s">
        <v>72</v>
      </c>
    </row>
    <row r="52" spans="1:1" x14ac:dyDescent="0.2">
      <c r="A52" s="118" t="s">
        <v>73</v>
      </c>
    </row>
    <row r="53" spans="1:1" x14ac:dyDescent="0.2">
      <c r="A53" s="118" t="s">
        <v>74</v>
      </c>
    </row>
    <row r="54" spans="1:1" x14ac:dyDescent="0.2">
      <c r="A54" s="119"/>
    </row>
    <row r="55" spans="1:1" x14ac:dyDescent="0.2">
      <c r="A55" s="108" t="s">
        <v>50</v>
      </c>
    </row>
    <row r="56" spans="1:1" x14ac:dyDescent="0.2">
      <c r="A56" s="120" t="s">
        <v>105</v>
      </c>
    </row>
    <row r="57" spans="1:1" x14ac:dyDescent="0.2">
      <c r="A57" s="121"/>
    </row>
  </sheetData>
  <mergeCells count="6">
    <mergeCell ref="J3:K3"/>
    <mergeCell ref="A3:A5"/>
    <mergeCell ref="B3:C3"/>
    <mergeCell ref="D3:E3"/>
    <mergeCell ref="F3:G3"/>
    <mergeCell ref="H3:I3"/>
  </mergeCells>
  <pageMargins left="0.4" right="0.22" top="0.22" bottom="0.19" header="0.16" footer="0.17"/>
  <pageSetup paperSize="9" scale="7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4</vt:i4>
      </vt:variant>
    </vt:vector>
  </HeadingPairs>
  <TitlesOfParts>
    <vt:vector size="27" baseType="lpstr">
      <vt:lpstr>Technical Notes</vt:lpstr>
      <vt:lpstr>June 2017p</vt:lpstr>
      <vt:lpstr>June 2016r</vt:lpstr>
      <vt:lpstr>June 2015</vt:lpstr>
      <vt:lpstr>June 2014</vt:lpstr>
      <vt:lpstr>June 2013p</vt:lpstr>
      <vt:lpstr>June 2012</vt:lpstr>
      <vt:lpstr>June 2011</vt:lpstr>
      <vt:lpstr>June 2010</vt:lpstr>
      <vt:lpstr>June 2009</vt:lpstr>
      <vt:lpstr>June 2008</vt:lpstr>
      <vt:lpstr>June 2007</vt:lpstr>
      <vt:lpstr>June 2006</vt:lpstr>
      <vt:lpstr>June 2005</vt:lpstr>
      <vt:lpstr>June 2004</vt:lpstr>
      <vt:lpstr>June 2003</vt:lpstr>
      <vt:lpstr>June 2002</vt:lpstr>
      <vt:lpstr>June 2001</vt:lpstr>
      <vt:lpstr>June 2000</vt:lpstr>
      <vt:lpstr>June 1999</vt:lpstr>
      <vt:lpstr>June 1998</vt:lpstr>
      <vt:lpstr>June 1997</vt:lpstr>
      <vt:lpstr>June 1996</vt:lpstr>
      <vt:lpstr>'June 2011'!Print_Area</vt:lpstr>
      <vt:lpstr>'June 2012'!Print_Area</vt:lpstr>
      <vt:lpstr>'June 2013p'!Print_Area</vt:lpstr>
      <vt:lpstr>'June 2014'!Print_Area</vt:lpstr>
    </vt:vector>
  </TitlesOfParts>
  <Company>Statistics New Zealand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Imports of forestry products into New Zealand by main countries of origin for the year ended June 2016</dc:title>
  <dc:creator>Wayne Gough</dc:creator>
  <cp:lastModifiedBy>Marijke Van Maren</cp:lastModifiedBy>
  <cp:lastPrinted>2008-08-18T20:19:55Z</cp:lastPrinted>
  <dcterms:created xsi:type="dcterms:W3CDTF">2006-07-18T20:25:59Z</dcterms:created>
  <dcterms:modified xsi:type="dcterms:W3CDTF">2021-04-18T23:31:30Z</dcterms:modified>
</cp:coreProperties>
</file>